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_vint\KNEU_Materials\EEM_PMaC_2015\"/>
    </mc:Choice>
  </mc:AlternateContent>
  <bookViews>
    <workbookView xWindow="0" yWindow="0" windowWidth="24000" windowHeight="9135" activeTab="3"/>
  </bookViews>
  <sheets>
    <sheet name="Balance Sheet" sheetId="1" r:id="rId1"/>
    <sheet name="Income Statements" sheetId="2" r:id="rId2"/>
    <sheet name="Cash Flow Statement" sheetId="3" r:id="rId3"/>
    <sheet name="Ratios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D35" i="4"/>
  <c r="C35" i="4"/>
  <c r="E10" i="4"/>
  <c r="D10" i="4"/>
  <c r="C10" i="4"/>
  <c r="E9" i="4"/>
  <c r="D9" i="4"/>
  <c r="C9" i="4"/>
  <c r="E8" i="4"/>
  <c r="D8" i="4"/>
  <c r="C8" i="4"/>
  <c r="E6" i="4"/>
  <c r="D6" i="4"/>
  <c r="C6" i="4"/>
  <c r="E5" i="4"/>
  <c r="D5" i="4"/>
  <c r="C5" i="4"/>
  <c r="E4" i="4"/>
  <c r="D4" i="4"/>
  <c r="C4" i="4"/>
  <c r="E3" i="4"/>
  <c r="D3" i="4"/>
  <c r="E1" i="4"/>
  <c r="D1" i="4"/>
  <c r="C1" i="4"/>
  <c r="D43" i="3"/>
  <c r="D42" i="3"/>
  <c r="C34" i="3"/>
  <c r="D9" i="3"/>
  <c r="C9" i="3"/>
  <c r="B9" i="3"/>
  <c r="C6" i="3"/>
  <c r="B6" i="3"/>
  <c r="C3" i="3"/>
  <c r="B2" i="2"/>
  <c r="C2" i="2"/>
  <c r="D2" i="2" s="1"/>
  <c r="F2" i="2" s="1"/>
  <c r="B3" i="2"/>
  <c r="B5" i="2" s="1"/>
  <c r="B7" i="2" s="1"/>
  <c r="B10" i="2" s="1"/>
  <c r="B12" i="2" s="1"/>
  <c r="B15" i="2" s="1"/>
  <c r="C3" i="2"/>
  <c r="C5" i="2" s="1"/>
  <c r="C7" i="2" s="1"/>
  <c r="C10" i="2" s="1"/>
  <c r="C12" i="2" s="1"/>
  <c r="C15" i="2" s="1"/>
  <c r="D3" i="2"/>
  <c r="E3" i="2"/>
  <c r="F3" i="2"/>
  <c r="F5" i="2" s="1"/>
  <c r="F7" i="2" s="1"/>
  <c r="F10" i="2" s="1"/>
  <c r="F12" i="2" s="1"/>
  <c r="F15" i="2" s="1"/>
  <c r="B4" i="2"/>
  <c r="G4" i="2" s="1"/>
  <c r="C4" i="2"/>
  <c r="D4" i="2"/>
  <c r="E4" i="2"/>
  <c r="F4" i="2"/>
  <c r="D5" i="2"/>
  <c r="D7" i="2" s="1"/>
  <c r="D10" i="2" s="1"/>
  <c r="D12" i="2" s="1"/>
  <c r="D15" i="2" s="1"/>
  <c r="E5" i="2"/>
  <c r="E7" i="2" s="1"/>
  <c r="B6" i="2"/>
  <c r="C6" i="2"/>
  <c r="H6" i="2" s="1"/>
  <c r="D6" i="2"/>
  <c r="I6" i="2" s="1"/>
  <c r="E6" i="2"/>
  <c r="F6" i="2"/>
  <c r="B8" i="2"/>
  <c r="G8" i="2" s="1"/>
  <c r="C8" i="2"/>
  <c r="D8" i="2"/>
  <c r="E8" i="2"/>
  <c r="F8" i="2"/>
  <c r="B9" i="2"/>
  <c r="C9" i="2"/>
  <c r="H9" i="2" s="1"/>
  <c r="D9" i="2"/>
  <c r="F9" i="2"/>
  <c r="J9" i="2" s="1"/>
  <c r="B11" i="2"/>
  <c r="C11" i="2"/>
  <c r="D11" i="2"/>
  <c r="I11" i="2" s="1"/>
  <c r="E11" i="2"/>
  <c r="F11" i="2"/>
  <c r="E15" i="2"/>
  <c r="E18" i="2"/>
  <c r="F18" i="2"/>
  <c r="J18" i="2" s="1"/>
  <c r="J16" i="2"/>
  <c r="I16" i="2"/>
  <c r="H16" i="2"/>
  <c r="G16" i="2"/>
  <c r="J13" i="2"/>
  <c r="I13" i="2"/>
  <c r="H13" i="2"/>
  <c r="G13" i="2"/>
  <c r="H11" i="2"/>
  <c r="J11" i="2"/>
  <c r="G11" i="2"/>
  <c r="I9" i="2"/>
  <c r="G9" i="2"/>
  <c r="I8" i="2"/>
  <c r="J8" i="2"/>
  <c r="H8" i="2"/>
  <c r="G6" i="2"/>
  <c r="J6" i="2"/>
  <c r="I4" i="2"/>
  <c r="J4" i="2"/>
  <c r="H4" i="2"/>
  <c r="I3" i="2"/>
  <c r="I2" i="2"/>
  <c r="J2" i="2" s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C47" i="1" s="1"/>
  <c r="B43" i="1"/>
  <c r="F42" i="1"/>
  <c r="F47" i="1" s="1"/>
  <c r="E42" i="1"/>
  <c r="E47" i="1" s="1"/>
  <c r="D42" i="1"/>
  <c r="D47" i="1" s="1"/>
  <c r="C42" i="1"/>
  <c r="B42" i="1"/>
  <c r="B47" i="1" s="1"/>
  <c r="F39" i="1"/>
  <c r="E39" i="1"/>
  <c r="D39" i="1"/>
  <c r="C39" i="1"/>
  <c r="B39" i="1"/>
  <c r="C38" i="1"/>
  <c r="F37" i="1"/>
  <c r="E37" i="1"/>
  <c r="D37" i="1"/>
  <c r="D38" i="1" s="1"/>
  <c r="C37" i="1"/>
  <c r="B37" i="1"/>
  <c r="F36" i="1"/>
  <c r="E36" i="1"/>
  <c r="D36" i="1"/>
  <c r="C36" i="1"/>
  <c r="B36" i="1"/>
  <c r="F35" i="1"/>
  <c r="F38" i="1" s="1"/>
  <c r="E35" i="1"/>
  <c r="E38" i="1" s="1"/>
  <c r="D35" i="1"/>
  <c r="C35" i="1"/>
  <c r="B35" i="1"/>
  <c r="B38" i="1" s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C33" i="1" s="1"/>
  <c r="C40" i="1" s="1"/>
  <c r="B29" i="1"/>
  <c r="F28" i="1"/>
  <c r="E28" i="1"/>
  <c r="D28" i="1"/>
  <c r="D33" i="1" s="1"/>
  <c r="C28" i="1"/>
  <c r="B28" i="1"/>
  <c r="F27" i="1"/>
  <c r="E27" i="1"/>
  <c r="D27" i="1"/>
  <c r="C27" i="1"/>
  <c r="B27" i="1"/>
  <c r="F26" i="1"/>
  <c r="F33" i="1" s="1"/>
  <c r="E26" i="1"/>
  <c r="E33" i="1" s="1"/>
  <c r="D26" i="1"/>
  <c r="C26" i="1"/>
  <c r="B26" i="1"/>
  <c r="B33" i="1" s="1"/>
  <c r="F21" i="1"/>
  <c r="E21" i="1"/>
  <c r="D21" i="1"/>
  <c r="C21" i="1"/>
  <c r="B21" i="1"/>
  <c r="F19" i="1"/>
  <c r="E19" i="1"/>
  <c r="D19" i="1"/>
  <c r="C19" i="1"/>
  <c r="B19" i="1"/>
  <c r="C18" i="1"/>
  <c r="F17" i="1"/>
  <c r="E17" i="1"/>
  <c r="D17" i="1"/>
  <c r="D18" i="1" s="1"/>
  <c r="C17" i="1"/>
  <c r="B17" i="1"/>
  <c r="F16" i="1"/>
  <c r="F18" i="1" s="1"/>
  <c r="E16" i="1"/>
  <c r="E18" i="1" s="1"/>
  <c r="D16" i="1"/>
  <c r="C16" i="1"/>
  <c r="B16" i="1"/>
  <c r="B18" i="1" s="1"/>
  <c r="F14" i="1"/>
  <c r="F20" i="1" s="1"/>
  <c r="B14" i="1"/>
  <c r="F13" i="1"/>
  <c r="E13" i="1"/>
  <c r="D13" i="1"/>
  <c r="C13" i="1"/>
  <c r="C14" i="1" s="1"/>
  <c r="C20" i="1" s="1"/>
  <c r="B13" i="1"/>
  <c r="F12" i="1"/>
  <c r="E12" i="1"/>
  <c r="E14" i="1" s="1"/>
  <c r="E20" i="1" s="1"/>
  <c r="D12" i="1"/>
  <c r="D14" i="1" s="1"/>
  <c r="C12" i="1"/>
  <c r="B12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F8" i="1" s="1"/>
  <c r="F22" i="1" s="1"/>
  <c r="E4" i="1"/>
  <c r="E8" i="1" s="1"/>
  <c r="E22" i="1" s="1"/>
  <c r="D4" i="1"/>
  <c r="D8" i="1" s="1"/>
  <c r="C4" i="1"/>
  <c r="C8" i="1" s="1"/>
  <c r="C22" i="1" s="1"/>
  <c r="B4" i="1"/>
  <c r="B8" i="1" s="1"/>
  <c r="B22" i="1" s="1"/>
  <c r="F2" i="1"/>
  <c r="E2" i="1"/>
  <c r="D2" i="1"/>
  <c r="C2" i="1"/>
  <c r="B2" i="1"/>
  <c r="F14" i="2"/>
  <c r="J14" i="2" s="1"/>
  <c r="C43" i="3"/>
  <c r="D15" i="3"/>
  <c r="C20" i="3"/>
  <c r="D33" i="3"/>
  <c r="C35" i="3"/>
  <c r="B37" i="3"/>
  <c r="B3" i="3"/>
  <c r="B10" i="3" l="1"/>
  <c r="B11" i="3" s="1"/>
  <c r="B42" i="3"/>
  <c r="C19" i="3"/>
  <c r="B18" i="3"/>
  <c r="C32" i="3"/>
  <c r="C37" i="3"/>
  <c r="D21" i="3"/>
  <c r="C42" i="3"/>
  <c r="C44" i="3" s="1"/>
  <c r="B22" i="3"/>
  <c r="C10" i="3"/>
  <c r="C26" i="3" s="1"/>
  <c r="D32" i="3"/>
  <c r="B27" i="3"/>
  <c r="D19" i="3"/>
  <c r="B20" i="3"/>
  <c r="C27" i="3"/>
  <c r="D10" i="3"/>
  <c r="D37" i="3"/>
  <c r="C22" i="3"/>
  <c r="C18" i="3"/>
  <c r="D20" i="3"/>
  <c r="D35" i="3"/>
  <c r="D34" i="3"/>
  <c r="D18" i="3"/>
  <c r="D3" i="3"/>
  <c r="C33" i="3"/>
  <c r="B19" i="3"/>
  <c r="B32" i="3"/>
  <c r="B15" i="3"/>
  <c r="D22" i="3"/>
  <c r="D17" i="3"/>
  <c r="E20" i="4"/>
  <c r="C15" i="3"/>
  <c r="B34" i="3"/>
  <c r="B21" i="3"/>
  <c r="B33" i="3"/>
  <c r="B35" i="3"/>
  <c r="B43" i="3"/>
  <c r="B44" i="3" s="1"/>
  <c r="D27" i="3"/>
  <c r="B18" i="2"/>
  <c r="G18" i="2" s="1"/>
  <c r="C14" i="2"/>
  <c r="H14" i="2" s="1"/>
  <c r="F17" i="2"/>
  <c r="C21" i="3"/>
  <c r="E19" i="4"/>
  <c r="B26" i="3"/>
  <c r="D44" i="3"/>
  <c r="C11" i="3"/>
  <c r="H5" i="2"/>
  <c r="I7" i="2"/>
  <c r="G5" i="2"/>
  <c r="J5" i="2"/>
  <c r="J3" i="2"/>
  <c r="G3" i="2"/>
  <c r="I5" i="2"/>
  <c r="H3" i="2"/>
  <c r="D22" i="1"/>
  <c r="D20" i="1"/>
  <c r="B20" i="1"/>
  <c r="E40" i="1"/>
  <c r="E48" i="1" s="1"/>
  <c r="B40" i="1"/>
  <c r="B48" i="1" s="1"/>
  <c r="F40" i="1"/>
  <c r="F48" i="1" s="1"/>
  <c r="D40" i="1"/>
  <c r="D48" i="1" s="1"/>
  <c r="C48" i="1"/>
  <c r="E24" i="4"/>
  <c r="D28" i="3" l="1"/>
  <c r="B14" i="2"/>
  <c r="D20" i="4"/>
  <c r="C17" i="3"/>
  <c r="D26" i="3"/>
  <c r="D29" i="3" s="1"/>
  <c r="E17" i="4"/>
  <c r="D14" i="3"/>
  <c r="E18" i="4"/>
  <c r="D18" i="4"/>
  <c r="E23" i="4"/>
  <c r="B28" i="3"/>
  <c r="E14" i="2"/>
  <c r="D18" i="2"/>
  <c r="I18" i="2" s="1"/>
  <c r="C36" i="3"/>
  <c r="C38" i="3" s="1"/>
  <c r="D27" i="4"/>
  <c r="D14" i="2"/>
  <c r="C18" i="2"/>
  <c r="C18" i="4"/>
  <c r="C17" i="4"/>
  <c r="B14" i="3"/>
  <c r="C14" i="3"/>
  <c r="D33" i="4"/>
  <c r="D32" i="4"/>
  <c r="B36" i="3"/>
  <c r="B38" i="3" s="1"/>
  <c r="D17" i="4"/>
  <c r="D36" i="3"/>
  <c r="D38" i="3" s="1"/>
  <c r="B17" i="3"/>
  <c r="D19" i="4"/>
  <c r="C20" i="4"/>
  <c r="C19" i="4"/>
  <c r="C28" i="3"/>
  <c r="C29" i="3" s="1"/>
  <c r="D24" i="4"/>
  <c r="B29" i="3"/>
  <c r="J7" i="2"/>
  <c r="H7" i="2"/>
  <c r="I10" i="2"/>
  <c r="G7" i="2"/>
  <c r="E22" i="4"/>
  <c r="B13" i="3" l="1"/>
  <c r="B23" i="3" s="1"/>
  <c r="B39" i="3" s="1"/>
  <c r="C13" i="4"/>
  <c r="E13" i="4"/>
  <c r="G14" i="2"/>
  <c r="B17" i="2"/>
  <c r="C24" i="4"/>
  <c r="C27" i="4"/>
  <c r="D15" i="4"/>
  <c r="D16" i="4" s="1"/>
  <c r="D23" i="4"/>
  <c r="D13" i="3"/>
  <c r="D23" i="3" s="1"/>
  <c r="D39" i="3" s="1"/>
  <c r="E33" i="4"/>
  <c r="C23" i="4"/>
  <c r="I14" i="2"/>
  <c r="D17" i="2"/>
  <c r="C15" i="4"/>
  <c r="C16" i="4" s="1"/>
  <c r="C13" i="3"/>
  <c r="C23" i="3" s="1"/>
  <c r="C39" i="3" s="1"/>
  <c r="D13" i="4"/>
  <c r="E15" i="4"/>
  <c r="E16" i="4" s="1"/>
  <c r="C22" i="4"/>
  <c r="H18" i="2"/>
  <c r="C17" i="2"/>
  <c r="E27" i="4"/>
  <c r="D45" i="3"/>
  <c r="I12" i="2"/>
  <c r="J10" i="2"/>
  <c r="G10" i="2"/>
  <c r="H10" i="2"/>
  <c r="E31" i="4"/>
  <c r="C26" i="4" l="1"/>
  <c r="C29" i="4"/>
  <c r="C28" i="4"/>
  <c r="D22" i="4"/>
  <c r="E26" i="4"/>
  <c r="E28" i="4"/>
  <c r="E32" i="4"/>
  <c r="E29" i="4"/>
  <c r="D26" i="4"/>
  <c r="C33" i="4"/>
  <c r="C31" i="4"/>
  <c r="C32" i="4"/>
  <c r="E12" i="4"/>
  <c r="C45" i="3"/>
  <c r="B45" i="3"/>
  <c r="G12" i="2"/>
  <c r="I15" i="2"/>
  <c r="I17" i="2"/>
  <c r="H12" i="2"/>
  <c r="J12" i="2"/>
  <c r="C14" i="4" l="1"/>
  <c r="E14" i="4"/>
  <c r="D31" i="4"/>
  <c r="D14" i="4"/>
  <c r="D28" i="4"/>
  <c r="D29" i="4"/>
  <c r="D12" i="4"/>
  <c r="C12" i="4"/>
  <c r="G17" i="2"/>
  <c r="G15" i="2"/>
  <c r="H15" i="2"/>
  <c r="H17" i="2"/>
  <c r="J17" i="2"/>
  <c r="J15" i="2"/>
</calcChain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B3" authorId="0" shapeId="0">
      <text>
        <r>
          <rPr>
            <sz val="8"/>
            <color indexed="81"/>
            <rFont val="Tahoma"/>
            <family val="2"/>
            <charset val="204"/>
          </rPr>
          <t>(Sales year 2- Sales year 1) / Sales year 1</t>
        </r>
      </text>
    </commen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Gross profit / Sales                 </t>
        </r>
      </text>
    </comment>
    <comment ref="B5" authorId="0" shapeId="0">
      <text>
        <r>
          <rPr>
            <sz val="8"/>
            <color indexed="81"/>
            <rFont val="Tahoma"/>
            <family val="2"/>
            <charset val="204"/>
          </rPr>
          <t>EBIT / Sales</t>
        </r>
      </text>
    </comment>
    <comment ref="B6" authorId="0" shapeId="0">
      <text>
        <r>
          <rPr>
            <sz val="8"/>
            <color indexed="81"/>
            <rFont val="Tahoma"/>
            <family val="2"/>
            <charset val="204"/>
          </rPr>
          <t>Net Profit (after interest and tax) / Sales</t>
        </r>
      </text>
    </comment>
    <comment ref="B8" authorId="0" shapeId="0">
      <text>
        <r>
          <rPr>
            <sz val="8"/>
            <color indexed="81"/>
            <rFont val="Tahoma"/>
            <family val="2"/>
            <charset val="204"/>
          </rPr>
          <t>Cost of goods sold / Sales</t>
        </r>
      </text>
    </comment>
    <comment ref="B9" authorId="0" shapeId="0">
      <text>
        <r>
          <rPr>
            <sz val="8"/>
            <color indexed="81"/>
            <rFont val="Tahoma"/>
            <family val="2"/>
            <charset val="204"/>
          </rPr>
          <t>Salling &amp; Administrative 
expenses /
Sales</t>
        </r>
      </text>
    </comment>
    <comment ref="B10" authorId="0" shapeId="0">
      <text>
        <r>
          <rPr>
            <sz val="8"/>
            <color indexed="81"/>
            <rFont val="Tahoma"/>
            <family val="2"/>
            <charset val="204"/>
          </rPr>
          <t>Others expenses / Sales</t>
        </r>
      </text>
    </comment>
    <comment ref="B12" authorId="0" shapeId="0">
      <text>
        <r>
          <rPr>
            <sz val="8"/>
            <color indexed="81"/>
            <rFont val="Tahoma"/>
            <family val="2"/>
            <charset val="204"/>
          </rPr>
          <t>Sales / Total assets</t>
        </r>
      </text>
    </comment>
    <comment ref="B13" authorId="0" shapeId="0">
      <text>
        <r>
          <rPr>
            <sz val="8"/>
            <color indexed="81"/>
            <rFont val="Tahoma"/>
            <family val="2"/>
            <charset val="204"/>
          </rPr>
          <t>Sales / 
Noncurrent assets</t>
        </r>
      </text>
    </comment>
    <comment ref="B14" authorId="0" shapeId="0">
      <text>
        <r>
          <rPr>
            <sz val="8"/>
            <color indexed="81"/>
            <rFont val="Tahoma"/>
            <family val="2"/>
            <charset val="204"/>
          </rPr>
          <t>Sales/
(Total assets -Current liabilities)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>Sales / 
Average accounts receivable balance</t>
        </r>
      </text>
    </comment>
    <comment ref="B16" authorId="0" shapeId="0">
      <text>
        <r>
          <rPr>
            <sz val="8"/>
            <color indexed="81"/>
            <rFont val="Tahoma"/>
            <family val="2"/>
            <charset val="204"/>
          </rPr>
          <t>365 (days) / 
Accounts receivable turnover</t>
        </r>
      </text>
    </comment>
    <comment ref="B17" authorId="0" shapeId="0">
      <text>
        <r>
          <rPr>
            <sz val="8"/>
            <color indexed="81"/>
            <rFont val="Tahoma"/>
            <family val="2"/>
            <charset val="204"/>
          </rPr>
          <t>Sales / Inventory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>COGS / Inventory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>Cost of goods sold /
Average accounts
payable balance</t>
        </r>
      </text>
    </comment>
    <comment ref="B20" authorId="0" shapeId="0">
      <text>
        <r>
          <rPr>
            <sz val="8"/>
            <color indexed="81"/>
            <rFont val="Tahoma"/>
            <family val="2"/>
            <charset val="204"/>
          </rPr>
          <t>365*(Average Accounts payable) / 
(cost of sales)</t>
        </r>
      </text>
    </comment>
    <comment ref="B22" authorId="0" shapeId="0">
      <text>
        <r>
          <rPr>
            <sz val="8"/>
            <color indexed="81"/>
            <rFont val="Tahoma"/>
            <family val="2"/>
            <charset val="204"/>
          </rPr>
          <t>Current assets /
Current liabilities</t>
        </r>
      </text>
    </comment>
    <comment ref="B23" authorId="0" shapeId="0">
      <text>
        <r>
          <rPr>
            <sz val="8"/>
            <color indexed="81"/>
            <rFont val="Tahoma"/>
            <family val="2"/>
            <charset val="204"/>
          </rPr>
          <t>Cash + Market. securities + Receivable) /
 Current liabilities</t>
        </r>
      </text>
    </comment>
    <comment ref="B24" authorId="0" shapeId="0">
      <text>
        <r>
          <rPr>
            <sz val="8"/>
            <color indexed="81"/>
            <rFont val="Tahoma"/>
            <family val="2"/>
            <charset val="204"/>
          </rPr>
          <t>Cash /
Current liabilities</t>
        </r>
      </text>
    </comment>
    <comment ref="B26" authorId="0" shapeId="0">
      <text>
        <r>
          <rPr>
            <sz val="8"/>
            <color indexed="81"/>
            <rFont val="Tahoma"/>
            <family val="2"/>
            <charset val="204"/>
          </rPr>
          <t>EBIT / 
Current Assets</t>
        </r>
      </text>
    </comment>
    <comment ref="B27" authorId="0" shapeId="0">
      <text>
        <r>
          <rPr>
            <sz val="8"/>
            <color indexed="81"/>
            <rFont val="Tahoma"/>
            <family val="2"/>
            <charset val="204"/>
          </rPr>
          <t>Net Income / Shareholders funds</t>
        </r>
      </text>
    </comment>
    <comment ref="B28" authorId="0" shapeId="0">
      <text>
        <r>
          <rPr>
            <sz val="8"/>
            <color indexed="81"/>
            <rFont val="Tahoma"/>
            <family val="2"/>
            <charset val="204"/>
          </rPr>
          <t>(Net income+Interest expenses*(1-Tax rate)) /
Total assets</t>
        </r>
      </text>
    </comment>
    <comment ref="B29" authorId="0" shapeId="0">
      <text>
        <r>
          <rPr>
            <sz val="8"/>
            <color indexed="81"/>
            <rFont val="Tahoma"/>
            <family val="2"/>
            <charset val="204"/>
          </rPr>
          <t>(Net income+Interest expenses*(1-Tax rate))/
Net assets                                     (Net assets = Total assets - Current liabilities)</t>
        </r>
      </text>
    </comment>
    <comment ref="B31" authorId="0" shapeId="0">
      <text>
        <r>
          <rPr>
            <sz val="8"/>
            <color indexed="81"/>
            <rFont val="Tahoma"/>
            <family val="2"/>
            <charset val="204"/>
          </rPr>
          <t>Total liabilities /
Total assets</t>
        </r>
      </text>
    </comment>
    <comment ref="B32" authorId="0" shapeId="0">
      <text>
        <r>
          <rPr>
            <sz val="8"/>
            <color indexed="81"/>
            <rFont val="Tahoma"/>
            <family val="2"/>
            <charset val="204"/>
          </rPr>
          <t>Long-term liabilities /
 Net Assets</t>
        </r>
      </text>
    </comment>
    <comment ref="B33" authorId="0" shapeId="0">
      <text>
        <r>
          <rPr>
            <sz val="8"/>
            <color indexed="81"/>
            <rFont val="Tahoma"/>
            <family val="2"/>
            <charset val="204"/>
          </rPr>
          <t>Total liabilities /
 Total equity</t>
        </r>
      </text>
    </comment>
    <comment ref="B35" authorId="0" shapeId="0">
      <text>
        <r>
          <rPr>
            <sz val="8"/>
            <color indexed="81"/>
            <rFont val="Tahoma"/>
            <family val="2"/>
            <charset val="204"/>
          </rPr>
          <t>EBIT / Interest expense</t>
        </r>
      </text>
    </comment>
  </commentList>
</comments>
</file>

<file path=xl/sharedStrings.xml><?xml version="1.0" encoding="utf-8"?>
<sst xmlns="http://schemas.openxmlformats.org/spreadsheetml/2006/main" count="147" uniqueCount="142">
  <si>
    <t>BALANCE SHEET</t>
  </si>
  <si>
    <t>Th. $</t>
  </si>
  <si>
    <t>Th.$</t>
  </si>
  <si>
    <t xml:space="preserve">ASSETS </t>
  </si>
  <si>
    <t>Current Assets</t>
  </si>
  <si>
    <t xml:space="preserve">  Cash  and Cash Equivalents</t>
  </si>
  <si>
    <t xml:space="preserve">  Accounts Receivable</t>
  </si>
  <si>
    <t xml:space="preserve">  Inventory</t>
  </si>
  <si>
    <t xml:space="preserve">  Other Current Assets</t>
  </si>
  <si>
    <t>Total Current Assets</t>
  </si>
  <si>
    <t>Fixed Assets</t>
  </si>
  <si>
    <t xml:space="preserve">  Buildings</t>
  </si>
  <si>
    <t xml:space="preserve">  Plant and Equipment</t>
  </si>
  <si>
    <t>Subtotal, Buildings, Plant and Equipment</t>
  </si>
  <si>
    <t xml:space="preserve"> Accumulated depreciation</t>
  </si>
  <si>
    <t>Subtotal, Buildings, Plant and Equipment, net</t>
  </si>
  <si>
    <t>Intangible Assets</t>
  </si>
  <si>
    <t xml:space="preserve">  Itangible Assets, Cost</t>
  </si>
  <si>
    <t xml:space="preserve">  Accumulated amortization</t>
  </si>
  <si>
    <t>Intangible Assets, net</t>
  </si>
  <si>
    <t>Other Fixed Assets</t>
  </si>
  <si>
    <t>Total Fixed Assets</t>
  </si>
  <si>
    <t>Differed expenses</t>
  </si>
  <si>
    <t>Total Assets</t>
  </si>
  <si>
    <t>LIABILITIES AND EQUITY</t>
  </si>
  <si>
    <t>Current Liabilities</t>
  </si>
  <si>
    <t xml:space="preserve">  Accounts Payable</t>
  </si>
  <si>
    <t xml:space="preserve">  Notes payable</t>
  </si>
  <si>
    <t xml:space="preserve">  Advances Received</t>
  </si>
  <si>
    <t xml:space="preserve">  Bank Loans</t>
  </si>
  <si>
    <t xml:space="preserve">  Deferred Income Taxes</t>
  </si>
  <si>
    <t xml:space="preserve">  Accrued Liabilities</t>
  </si>
  <si>
    <t xml:space="preserve">  Other Current Liabilities</t>
  </si>
  <si>
    <t>Total Current Liabilities</t>
  </si>
  <si>
    <t>Non-Current Liabilities</t>
  </si>
  <si>
    <t xml:space="preserve">  Long-term Loans</t>
  </si>
  <si>
    <t xml:space="preserve">  Other non-current liabilities</t>
  </si>
  <si>
    <t xml:space="preserve">  Deferred income </t>
  </si>
  <si>
    <t>Total Non-Current Liabilities</t>
  </si>
  <si>
    <t>Coverage of outstnding expenses and payments</t>
  </si>
  <si>
    <t>Total Liabilities</t>
  </si>
  <si>
    <t>Owners' Equity</t>
  </si>
  <si>
    <t xml:space="preserve">  Stock Capital  </t>
  </si>
  <si>
    <t xml:space="preserve">  Additional Capital</t>
  </si>
  <si>
    <t xml:space="preserve">  Reserved Capital</t>
  </si>
  <si>
    <t xml:space="preserve">  Retained Earnings</t>
  </si>
  <si>
    <t>Outstanding Capital</t>
  </si>
  <si>
    <t>Total Owners' Equity</t>
  </si>
  <si>
    <t>Total Liabilities and Equity</t>
  </si>
  <si>
    <t>INCOME STATEMENTS</t>
  </si>
  <si>
    <t>Th$</t>
  </si>
  <si>
    <t xml:space="preserve">  Sales</t>
  </si>
  <si>
    <t xml:space="preserve">  Cost of goods sold (COGS)</t>
  </si>
  <si>
    <t>Gross Profit</t>
  </si>
  <si>
    <t xml:space="preserve">  Selling &amp; administrative expenses</t>
  </si>
  <si>
    <t>Earnings Before Interest &amp; Tax (EBIT)</t>
  </si>
  <si>
    <t xml:space="preserve">  Interest Expenses</t>
  </si>
  <si>
    <t xml:space="preserve">  Other earnings (+) &amp; losses (-)</t>
  </si>
  <si>
    <t>Earnings Before Tax (EBT)</t>
  </si>
  <si>
    <t xml:space="preserve">  Taxes</t>
  </si>
  <si>
    <t>Net income</t>
  </si>
  <si>
    <t xml:space="preserve"> Distribution of net income:</t>
  </si>
  <si>
    <t xml:space="preserve">  Retained Earnings (Beginning)</t>
  </si>
  <si>
    <t xml:space="preserve">  Net income</t>
  </si>
  <si>
    <t xml:space="preserve">  The result of reassessment of assets</t>
  </si>
  <si>
    <t xml:space="preserve">  Net Income Distribution</t>
  </si>
  <si>
    <t xml:space="preserve">  Retained Earnings (Ending)</t>
  </si>
  <si>
    <t xml:space="preserve">CASH FLOW STATEMENT </t>
  </si>
  <si>
    <t>Reassessment influance</t>
  </si>
  <si>
    <t>Inventory reassessment</t>
  </si>
  <si>
    <t>Property, Plant and Equipment reassessment</t>
  </si>
  <si>
    <t xml:space="preserve">  Changes in Stockholders' Equity </t>
  </si>
  <si>
    <t xml:space="preserve"> Operating Activity</t>
  </si>
  <si>
    <t>Net Income</t>
  </si>
  <si>
    <t>Depreciation</t>
  </si>
  <si>
    <t>Subtotal</t>
  </si>
  <si>
    <t>Changes in Current Assets:</t>
  </si>
  <si>
    <t xml:space="preserve"> Changes in Accounts Receivable</t>
  </si>
  <si>
    <t xml:space="preserve"> Changes in Inventory</t>
  </si>
  <si>
    <t xml:space="preserve"> Changes in Other Current Assets</t>
  </si>
  <si>
    <t>Changes in Short - term Liabilities:</t>
  </si>
  <si>
    <t>Changes in Accounts Payable</t>
  </si>
  <si>
    <t>Changes in Advances Received</t>
  </si>
  <si>
    <t>Changes in Bank Loans</t>
  </si>
  <si>
    <t>Changes in Deferred Income Taxes</t>
  </si>
  <si>
    <t>Changes in Accrued Liabilities</t>
  </si>
  <si>
    <t>Changes in Other Short-Term Liabilities</t>
  </si>
  <si>
    <t xml:space="preserve">Net Cash from Operating Activity </t>
  </si>
  <si>
    <t>Investing activity (purchasing/selling)</t>
  </si>
  <si>
    <t>Property, Plant and Equipment</t>
  </si>
  <si>
    <t>Other  non-current assets</t>
  </si>
  <si>
    <t xml:space="preserve">  Intangible assets</t>
  </si>
  <si>
    <t>Net Cash from Investing Activity</t>
  </si>
  <si>
    <t>Financing activity</t>
  </si>
  <si>
    <t xml:space="preserve">  Short term notes payable</t>
  </si>
  <si>
    <t xml:space="preserve">  Changes in Long-term Loans</t>
  </si>
  <si>
    <t xml:space="preserve">  Deferred income</t>
  </si>
  <si>
    <t xml:space="preserve">  Other long-term liabilities</t>
  </si>
  <si>
    <t>Changes in coverage of outstanding expenses and payments</t>
  </si>
  <si>
    <t>Net cash from Financing Activity</t>
  </si>
  <si>
    <t>Total Cash Flow</t>
  </si>
  <si>
    <t>Checking cash flow statement</t>
  </si>
  <si>
    <t>Cash at beginning period</t>
  </si>
  <si>
    <t>Cash at the end of period</t>
  </si>
  <si>
    <t>Net increase / decrease in cash in balance</t>
  </si>
  <si>
    <t>Deviation</t>
  </si>
  <si>
    <t>Ratios</t>
  </si>
  <si>
    <t>Operating Analysis</t>
  </si>
  <si>
    <t>Revenue Growth</t>
  </si>
  <si>
    <t xml:space="preserve"> -</t>
  </si>
  <si>
    <t>Gross Profit Margin</t>
  </si>
  <si>
    <t>Return on Sales</t>
  </si>
  <si>
    <t>Net Profit Margin</t>
  </si>
  <si>
    <t>Analysis of Operating Costs</t>
  </si>
  <si>
    <t>Cost of Goods Sold Ratio</t>
  </si>
  <si>
    <t>Sеlling &amp; Administrative Expenses Ratio</t>
  </si>
  <si>
    <t>Interest Expenses Ratio</t>
  </si>
  <si>
    <t>Assets Management</t>
  </si>
  <si>
    <t>Total Assets Turnover, times</t>
  </si>
  <si>
    <t>Non-current Assets Turnover, times</t>
  </si>
  <si>
    <t>Net Assets Turnover, times</t>
  </si>
  <si>
    <t>Account Receivable Turnover, times</t>
  </si>
  <si>
    <t>Average Collection Period, days</t>
  </si>
  <si>
    <t>Inventory Turnover (Sales), times</t>
  </si>
  <si>
    <t>Inventory Turnover (COGS), times</t>
  </si>
  <si>
    <t>Accounts Payable Turnover, times</t>
  </si>
  <si>
    <t>Average Payment Period, days</t>
  </si>
  <si>
    <t>Liquidity Ratios</t>
  </si>
  <si>
    <t>Current Ratio, to 1</t>
  </si>
  <si>
    <t>Quick Ratio (acid test), to 1</t>
  </si>
  <si>
    <t>Absolute Liquidity Ratio, to 1</t>
  </si>
  <si>
    <t>Profitability</t>
  </si>
  <si>
    <t>Return on Current Assets</t>
  </si>
  <si>
    <t>Return on Equity (ROE)</t>
  </si>
  <si>
    <t>Return on Assets (ROA)</t>
  </si>
  <si>
    <t>Return on Net Assets</t>
  </si>
  <si>
    <t>Capital Structure Ratios</t>
  </si>
  <si>
    <t>Debt to Assets</t>
  </si>
  <si>
    <t>Debt to Capitalization Ratio</t>
  </si>
  <si>
    <t>Debt to Equity Ratio</t>
  </si>
  <si>
    <t>Debt Service Ratio</t>
  </si>
  <si>
    <t>Times Interest Earned,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</si>
</sst>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₴_-;\-* #,##0.00_₴_-;_-* &quot;-&quot;??_₴_-;_-@_-"/>
    <numFmt numFmtId="164" formatCode="#,##0.0_);\(#,##0.0\)"/>
    <numFmt numFmtId="165" formatCode="_(&quot;$&quot;* #,##0_);_(&quot;$&quot;* \(#,##0\);_(&quot;$&quot;* &quot;-&quot;_);_(@_)"/>
    <numFmt numFmtId="166" formatCode="#,##0.0"/>
    <numFmt numFmtId="167" formatCode="#,##0.000_);\(#,##0.000\)"/>
    <numFmt numFmtId="168" formatCode="0.0"/>
    <numFmt numFmtId="169" formatCode="#,##0_);\(#,##0\)"/>
    <numFmt numFmtId="170" formatCode="0.0%"/>
    <numFmt numFmtId="171" formatCode="0.0\ &quot;times&quot;"/>
    <numFmt numFmtId="172" formatCode="0.0&quot;рази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Times New Roman"/>
      <family val="1"/>
      <charset val="204"/>
    </font>
    <font>
      <sz val="10"/>
      <name val="MS Sans Serif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/>
    <xf numFmtId="0" fontId="4" fillId="0" borderId="0" applyFill="0" applyBorder="0" applyAlignment="0" applyProtection="0"/>
    <xf numFmtId="0" fontId="5" fillId="0" borderId="0" applyFont="0" applyFill="0" applyBorder="0" applyAlignment="0" applyProtection="0"/>
    <xf numFmtId="169" fontId="4" fillId="0" borderId="2" applyFont="0" applyBorder="0" applyAlignment="0" applyProtection="0"/>
    <xf numFmtId="168" fontId="12" fillId="0" borderId="0"/>
    <xf numFmtId="9" fontId="5" fillId="0" borderId="0" applyFont="0" applyFill="0" applyBorder="0" applyAlignment="0" applyProtection="0"/>
    <xf numFmtId="170" fontId="12" fillId="0" borderId="0" applyFont="0" applyFill="0" applyBorder="0" applyProtection="0"/>
    <xf numFmtId="0" fontId="5" fillId="0" borderId="0"/>
  </cellStyleXfs>
  <cellXfs count="118">
    <xf numFmtId="0" fontId="0" fillId="0" borderId="0" xfId="0"/>
    <xf numFmtId="0" fontId="4" fillId="0" borderId="2" xfId="0" applyFont="1" applyBorder="1" applyProtection="1"/>
    <xf numFmtId="0" fontId="7" fillId="2" borderId="1" xfId="0" applyFont="1" applyFill="1" applyBorder="1" applyAlignment="1" applyProtection="1">
      <alignment horizontal="center" vertical="justify"/>
      <protection hidden="1"/>
    </xf>
    <xf numFmtId="0" fontId="7" fillId="0" borderId="3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7" fillId="2" borderId="0" xfId="0" applyFont="1" applyFill="1" applyProtection="1"/>
    <xf numFmtId="14" fontId="7" fillId="0" borderId="4" xfId="2" applyNumberFormat="1" applyFont="1" applyFill="1" applyBorder="1" applyAlignment="1" applyProtection="1">
      <alignment horizontal="center" vertical="center"/>
    </xf>
    <xf numFmtId="14" fontId="7" fillId="2" borderId="4" xfId="2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/>
    </xf>
    <xf numFmtId="164" fontId="8" fillId="0" borderId="2" xfId="2" applyNumberFormat="1" applyFont="1" applyFill="1" applyBorder="1" applyAlignment="1" applyProtection="1">
      <alignment horizontal="center"/>
    </xf>
    <xf numFmtId="166" fontId="8" fillId="2" borderId="2" xfId="0" applyNumberFormat="1" applyFont="1" applyFill="1" applyBorder="1" applyAlignment="1" applyProtection="1">
      <alignment vertical="justify"/>
    </xf>
    <xf numFmtId="164" fontId="8" fillId="2" borderId="2" xfId="2" applyNumberFormat="1" applyFont="1" applyFill="1" applyBorder="1" applyAlignment="1" applyProtection="1">
      <alignment horizontal="center"/>
    </xf>
    <xf numFmtId="164" fontId="8" fillId="2" borderId="2" xfId="2" applyNumberFormat="1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Protection="1"/>
    <xf numFmtId="165" fontId="8" fillId="0" borderId="2" xfId="3" applyFont="1" applyFill="1" applyBorder="1" applyAlignment="1" applyProtection="1"/>
    <xf numFmtId="167" fontId="8" fillId="2" borderId="2" xfId="3" applyNumberFormat="1" applyFont="1" applyFill="1" applyBorder="1" applyAlignment="1" applyProtection="1"/>
    <xf numFmtId="0" fontId="7" fillId="2" borderId="2" xfId="0" applyFont="1" applyFill="1" applyBorder="1" applyAlignment="1" applyProtection="1">
      <alignment horizontal="center"/>
    </xf>
    <xf numFmtId="165" fontId="7" fillId="0" borderId="2" xfId="3" applyFont="1" applyFill="1" applyBorder="1" applyAlignment="1" applyProtection="1"/>
    <xf numFmtId="167" fontId="7" fillId="2" borderId="2" xfId="3" applyNumberFormat="1" applyFont="1" applyFill="1" applyBorder="1" applyAlignment="1" applyProtection="1"/>
    <xf numFmtId="0" fontId="7" fillId="2" borderId="2" xfId="0" applyFont="1" applyFill="1" applyBorder="1" applyProtection="1"/>
    <xf numFmtId="0" fontId="8" fillId="0" borderId="2" xfId="2" applyFont="1" applyFill="1" applyBorder="1" applyAlignment="1" applyProtection="1"/>
    <xf numFmtId="167" fontId="8" fillId="0" borderId="2" xfId="0" applyNumberFormat="1" applyFont="1" applyFill="1" applyBorder="1" applyAlignment="1" applyProtection="1">
      <alignment vertical="justify"/>
    </xf>
    <xf numFmtId="167" fontId="8" fillId="0" borderId="2" xfId="2" applyNumberFormat="1" applyFont="1" applyFill="1" applyBorder="1" applyAlignment="1" applyProtection="1"/>
    <xf numFmtId="167" fontId="8" fillId="0" borderId="2" xfId="2" applyNumberFormat="1" applyFont="1" applyFill="1" applyBorder="1" applyAlignment="1" applyProtection="1">
      <protection hidden="1"/>
    </xf>
    <xf numFmtId="167" fontId="8" fillId="0" borderId="2" xfId="0" applyNumberFormat="1" applyFont="1" applyBorder="1" applyProtection="1"/>
    <xf numFmtId="0" fontId="8" fillId="0" borderId="2" xfId="0" applyFont="1" applyBorder="1" applyProtection="1"/>
    <xf numFmtId="0" fontId="7" fillId="2" borderId="2" xfId="0" applyFont="1" applyFill="1" applyBorder="1" applyAlignment="1" applyProtection="1">
      <alignment horizontal="right"/>
    </xf>
    <xf numFmtId="167" fontId="7" fillId="0" borderId="2" xfId="3" applyNumberFormat="1" applyFont="1" applyFill="1" applyBorder="1" applyAlignment="1" applyProtection="1"/>
    <xf numFmtId="167" fontId="8" fillId="0" borderId="2" xfId="3" applyNumberFormat="1" applyFont="1" applyFill="1" applyBorder="1" applyAlignment="1" applyProtection="1"/>
    <xf numFmtId="167" fontId="8" fillId="0" borderId="2" xfId="3" applyNumberFormat="1" applyFont="1" applyFill="1" applyBorder="1" applyAlignment="1" applyProtection="1">
      <protection hidden="1"/>
    </xf>
    <xf numFmtId="0" fontId="7" fillId="0" borderId="2" xfId="2" applyFont="1" applyFill="1" applyBorder="1" applyAlignment="1" applyProtection="1">
      <alignment horizontal="center" vertical="center"/>
    </xf>
    <xf numFmtId="167" fontId="7" fillId="0" borderId="2" xfId="2" applyNumberFormat="1" applyFont="1" applyFill="1" applyBorder="1" applyAlignment="1" applyProtection="1">
      <alignment horizontal="center" vertical="center"/>
    </xf>
    <xf numFmtId="167" fontId="8" fillId="2" borderId="2" xfId="0" applyNumberFormat="1" applyFont="1" applyFill="1" applyBorder="1" applyAlignment="1" applyProtection="1">
      <alignment vertical="justify"/>
    </xf>
    <xf numFmtId="167" fontId="8" fillId="2" borderId="2" xfId="2" applyNumberFormat="1" applyFont="1" applyFill="1" applyBorder="1" applyAlignment="1" applyProtection="1"/>
    <xf numFmtId="167" fontId="8" fillId="2" borderId="2" xfId="2" applyNumberFormat="1" applyFont="1" applyFill="1" applyBorder="1" applyAlignment="1" applyProtection="1">
      <protection hidden="1"/>
    </xf>
    <xf numFmtId="167" fontId="8" fillId="2" borderId="2" xfId="0" applyNumberFormat="1" applyFont="1" applyFill="1" applyBorder="1" applyProtection="1"/>
    <xf numFmtId="0" fontId="2" fillId="0" borderId="5" xfId="0" applyFont="1" applyFill="1" applyBorder="1" applyAlignment="1" applyProtection="1">
      <alignment horizontal="center"/>
      <protection hidden="1"/>
    </xf>
    <xf numFmtId="0" fontId="10" fillId="0" borderId="6" xfId="4" applyFont="1" applyBorder="1" applyAlignment="1">
      <alignment horizontal="center"/>
    </xf>
    <xf numFmtId="0" fontId="4" fillId="0" borderId="6" xfId="0" applyFont="1" applyBorder="1" applyProtection="1"/>
    <xf numFmtId="0" fontId="6" fillId="0" borderId="6" xfId="0" applyFont="1" applyBorder="1" applyProtection="1"/>
    <xf numFmtId="0" fontId="3" fillId="0" borderId="7" xfId="0" applyFont="1" applyBorder="1" applyProtection="1"/>
    <xf numFmtId="166" fontId="3" fillId="0" borderId="2" xfId="5" applyNumberFormat="1" applyFont="1" applyFill="1" applyBorder="1" applyAlignment="1" applyProtection="1">
      <alignment horizontal="center" vertical="center"/>
    </xf>
    <xf numFmtId="166" fontId="6" fillId="0" borderId="2" xfId="0" applyNumberFormat="1" applyFont="1" applyBorder="1" applyProtection="1"/>
    <xf numFmtId="166" fontId="6" fillId="0" borderId="8" xfId="0" applyNumberFormat="1" applyFont="1" applyBorder="1" applyProtection="1"/>
    <xf numFmtId="0" fontId="4" fillId="0" borderId="7" xfId="0" applyFont="1" applyBorder="1" applyProtection="1"/>
    <xf numFmtId="164" fontId="4" fillId="0" borderId="2" xfId="5" applyNumberFormat="1" applyFont="1" applyFill="1" applyBorder="1" applyAlignment="1" applyProtection="1"/>
    <xf numFmtId="168" fontId="4" fillId="0" borderId="2" xfId="0" applyNumberFormat="1" applyFont="1" applyBorder="1" applyProtection="1"/>
    <xf numFmtId="168" fontId="4" fillId="0" borderId="8" xfId="0" applyNumberFormat="1" applyFont="1" applyBorder="1" applyProtection="1"/>
    <xf numFmtId="0" fontId="3" fillId="0" borderId="7" xfId="0" applyFont="1" applyBorder="1" applyAlignment="1" applyProtection="1">
      <alignment horizontal="right"/>
    </xf>
    <xf numFmtId="164" fontId="3" fillId="0" borderId="2" xfId="5" applyNumberFormat="1" applyFont="1" applyFill="1" applyBorder="1" applyAlignment="1" applyProtection="1"/>
    <xf numFmtId="3" fontId="4" fillId="0" borderId="7" xfId="5" applyNumberFormat="1" applyFont="1" applyFill="1" applyBorder="1" applyAlignment="1" applyProtection="1">
      <protection hidden="1"/>
    </xf>
    <xf numFmtId="3" fontId="3" fillId="0" borderId="7" xfId="5" applyNumberFormat="1" applyFont="1" applyFill="1" applyBorder="1" applyAlignment="1" applyProtection="1">
      <alignment horizontal="right"/>
      <protection hidden="1"/>
    </xf>
    <xf numFmtId="3" fontId="4" fillId="0" borderId="7" xfId="5" applyNumberFormat="1" applyFont="1" applyFill="1" applyBorder="1" applyAlignment="1" applyProtection="1">
      <alignment horizontal="left"/>
      <protection hidden="1"/>
    </xf>
    <xf numFmtId="0" fontId="11" fillId="0" borderId="7" xfId="0" applyFont="1" applyBorder="1" applyAlignment="1" applyProtection="1">
      <alignment horizontal="center"/>
    </xf>
    <xf numFmtId="3" fontId="4" fillId="0" borderId="9" xfId="5" applyNumberFormat="1" applyFont="1" applyFill="1" applyBorder="1" applyAlignment="1" applyProtection="1">
      <protection hidden="1"/>
    </xf>
    <xf numFmtId="164" fontId="3" fillId="0" borderId="3" xfId="5" applyNumberFormat="1" applyFont="1" applyFill="1" applyBorder="1" applyAlignment="1" applyProtection="1"/>
    <xf numFmtId="168" fontId="4" fillId="0" borderId="3" xfId="0" applyNumberFormat="1" applyFont="1" applyBorder="1" applyProtection="1"/>
    <xf numFmtId="168" fontId="4" fillId="0" borderId="10" xfId="0" applyNumberFormat="1" applyFont="1" applyBorder="1" applyProtection="1"/>
    <xf numFmtId="0" fontId="2" fillId="0" borderId="11" xfId="0" applyFont="1" applyFill="1" applyBorder="1" applyAlignment="1" applyProtection="1">
      <alignment horizontal="center"/>
      <protection hidden="1"/>
    </xf>
    <xf numFmtId="166" fontId="4" fillId="0" borderId="12" xfId="0" applyNumberFormat="1" applyFont="1" applyFill="1" applyBorder="1" applyAlignment="1" applyProtection="1"/>
    <xf numFmtId="0" fontId="4" fillId="0" borderId="0" xfId="0" applyFont="1" applyProtection="1"/>
    <xf numFmtId="0" fontId="2" fillId="0" borderId="0" xfId="6" applyFont="1" applyFill="1" applyBorder="1" applyProtection="1">
      <protection hidden="1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Protection="1"/>
    <xf numFmtId="0" fontId="13" fillId="0" borderId="2" xfId="6" applyFont="1" applyFill="1" applyBorder="1" applyAlignment="1" applyProtection="1">
      <alignment horizontal="left"/>
      <protection hidden="1"/>
    </xf>
    <xf numFmtId="166" fontId="3" fillId="0" borderId="2" xfId="6" applyNumberFormat="1" applyFont="1" applyFill="1" applyBorder="1" applyAlignment="1" applyProtection="1">
      <alignment horizontal="center" vertical="center"/>
    </xf>
    <xf numFmtId="0" fontId="11" fillId="0" borderId="2" xfId="6" applyFont="1" applyFill="1" applyBorder="1" applyAlignment="1" applyProtection="1">
      <alignment horizontal="right"/>
      <protection hidden="1"/>
    </xf>
    <xf numFmtId="169" fontId="4" fillId="0" borderId="2" xfId="5" applyNumberFormat="1" applyFont="1" applyFill="1" applyBorder="1" applyAlignment="1" applyProtection="1"/>
    <xf numFmtId="0" fontId="11" fillId="0" borderId="2" xfId="6" applyFont="1" applyFill="1" applyBorder="1" applyAlignment="1" applyProtection="1">
      <alignment horizontal="right" wrapText="1"/>
      <protection hidden="1"/>
    </xf>
    <xf numFmtId="169" fontId="3" fillId="0" borderId="2" xfId="5" applyNumberFormat="1" applyFont="1" applyFill="1" applyBorder="1" applyAlignment="1" applyProtection="1">
      <alignment horizontal="center"/>
    </xf>
    <xf numFmtId="164" fontId="3" fillId="0" borderId="2" xfId="5" applyNumberFormat="1" applyFont="1" applyFill="1" applyBorder="1" applyAlignment="1" applyProtection="1">
      <alignment horizontal="center"/>
    </xf>
    <xf numFmtId="0" fontId="2" fillId="0" borderId="2" xfId="6" applyFont="1" applyFill="1" applyBorder="1" applyAlignment="1" applyProtection="1">
      <alignment horizontal="left"/>
      <protection hidden="1"/>
    </xf>
    <xf numFmtId="49" fontId="3" fillId="0" borderId="2" xfId="6" applyNumberFormat="1" applyFont="1" applyFill="1" applyBorder="1" applyAlignment="1" applyProtection="1">
      <alignment horizontal="center" vertical="center"/>
    </xf>
    <xf numFmtId="0" fontId="4" fillId="0" borderId="2" xfId="6" applyFont="1" applyFill="1" applyBorder="1" applyProtection="1">
      <protection hidden="1"/>
    </xf>
    <xf numFmtId="169" fontId="4" fillId="0" borderId="2" xfId="7" applyFont="1" applyBorder="1" applyProtection="1"/>
    <xf numFmtId="0" fontId="3" fillId="0" borderId="2" xfId="6" applyFont="1" applyFill="1" applyBorder="1" applyAlignment="1" applyProtection="1">
      <alignment horizontal="right"/>
      <protection hidden="1"/>
    </xf>
    <xf numFmtId="169" fontId="3" fillId="0" borderId="2" xfId="7" applyFont="1" applyBorder="1" applyAlignment="1" applyProtection="1"/>
    <xf numFmtId="0" fontId="3" fillId="0" borderId="2" xfId="6" applyFont="1" applyFill="1" applyBorder="1" applyAlignment="1" applyProtection="1">
      <alignment horizontal="left"/>
      <protection hidden="1"/>
    </xf>
    <xf numFmtId="0" fontId="4" fillId="0" borderId="2" xfId="6" applyFont="1" applyFill="1" applyBorder="1" applyAlignment="1" applyProtection="1">
      <alignment horizontal="right"/>
      <protection hidden="1"/>
    </xf>
    <xf numFmtId="169" fontId="4" fillId="0" borderId="2" xfId="7" applyFont="1" applyBorder="1" applyAlignment="1" applyProtection="1"/>
    <xf numFmtId="0" fontId="7" fillId="0" borderId="2" xfId="6" applyFont="1" applyFill="1" applyBorder="1" applyAlignment="1" applyProtection="1">
      <alignment horizontal="left"/>
      <protection hidden="1"/>
    </xf>
    <xf numFmtId="0" fontId="2" fillId="0" borderId="0" xfId="6" applyFont="1" applyFill="1" applyBorder="1" applyAlignment="1" applyProtection="1">
      <alignment wrapText="1"/>
      <protection hidden="1"/>
    </xf>
    <xf numFmtId="169" fontId="3" fillId="0" borderId="2" xfId="7" applyFont="1" applyBorder="1" applyProtection="1"/>
    <xf numFmtId="169" fontId="4" fillId="0" borderId="2" xfId="7" applyFont="1" applyBorder="1" applyAlignment="1" applyProtection="1">
      <alignment horizontal="center"/>
    </xf>
    <xf numFmtId="0" fontId="4" fillId="0" borderId="2" xfId="6" applyFont="1" applyFill="1" applyBorder="1" applyAlignment="1" applyProtection="1">
      <alignment horizontal="right" wrapText="1"/>
      <protection hidden="1"/>
    </xf>
    <xf numFmtId="166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2" fillId="0" borderId="2" xfId="6" applyFont="1" applyFill="1" applyBorder="1" applyAlignment="1" applyProtection="1">
      <alignment horizontal="center"/>
      <protection hidden="1"/>
    </xf>
    <xf numFmtId="0" fontId="14" fillId="0" borderId="0" xfId="6" applyFont="1" applyFill="1" applyBorder="1" applyAlignment="1" applyProtection="1">
      <alignment horizontal="left"/>
      <protection hidden="1"/>
    </xf>
    <xf numFmtId="0" fontId="4" fillId="0" borderId="2" xfId="6" applyFont="1" applyFill="1" applyBorder="1" applyAlignment="1" applyProtection="1">
      <alignment horizontal="left"/>
      <protection hidden="1"/>
    </xf>
    <xf numFmtId="0" fontId="15" fillId="0" borderId="2" xfId="0" applyFont="1" applyFill="1" applyBorder="1" applyProtection="1">
      <protection hidden="1"/>
    </xf>
    <xf numFmtId="1" fontId="15" fillId="0" borderId="2" xfId="7" applyNumberFormat="1" applyFont="1" applyBorder="1" applyProtection="1"/>
    <xf numFmtId="169" fontId="4" fillId="0" borderId="0" xfId="7" applyFont="1" applyBorder="1" applyProtection="1"/>
    <xf numFmtId="0" fontId="4" fillId="0" borderId="2" xfId="8" applyNumberFormat="1" applyFont="1" applyFill="1" applyBorder="1" applyAlignment="1" applyProtection="1">
      <alignment horizontal="center" vertical="top"/>
      <protection hidden="1"/>
    </xf>
    <xf numFmtId="168" fontId="2" fillId="0" borderId="2" xfId="8" applyFont="1" applyFill="1" applyBorder="1" applyAlignment="1" applyProtection="1">
      <alignment horizontal="center" vertical="center"/>
    </xf>
    <xf numFmtId="14" fontId="3" fillId="0" borderId="2" xfId="8" applyNumberFormat="1" applyFont="1" applyFill="1" applyBorder="1" applyAlignment="1" applyProtection="1">
      <alignment horizontal="center" vertical="center"/>
      <protection hidden="1"/>
    </xf>
    <xf numFmtId="168" fontId="4" fillId="0" borderId="0" xfId="8" applyFont="1" applyFill="1" applyBorder="1" applyProtection="1">
      <protection hidden="1"/>
    </xf>
    <xf numFmtId="168" fontId="16" fillId="0" borderId="2" xfId="8" applyFont="1" applyFill="1" applyBorder="1" applyAlignment="1" applyProtection="1">
      <alignment horizontal="left" vertical="center"/>
    </xf>
    <xf numFmtId="168" fontId="4" fillId="0" borderId="2" xfId="8" applyFont="1" applyFill="1" applyBorder="1" applyAlignment="1" applyProtection="1">
      <alignment horizontal="left" vertical="center"/>
      <protection hidden="1"/>
    </xf>
    <xf numFmtId="168" fontId="4" fillId="0" borderId="2" xfId="8" applyFont="1" applyFill="1" applyBorder="1" applyProtection="1">
      <protection hidden="1"/>
    </xf>
    <xf numFmtId="168" fontId="4" fillId="0" borderId="2" xfId="8" applyFont="1" applyFill="1" applyBorder="1" applyAlignment="1" applyProtection="1">
      <alignment horizontal="left" vertical="top" wrapText="1"/>
    </xf>
    <xf numFmtId="170" fontId="4" fillId="0" borderId="2" xfId="8" applyNumberFormat="1" applyFont="1" applyFill="1" applyBorder="1" applyAlignment="1" applyProtection="1">
      <alignment vertical="top"/>
      <protection hidden="1"/>
    </xf>
    <xf numFmtId="170" fontId="4" fillId="0" borderId="2" xfId="9" applyNumberFormat="1" applyFont="1" applyFill="1" applyBorder="1" applyAlignment="1" applyProtection="1">
      <alignment vertical="top"/>
      <protection hidden="1"/>
    </xf>
    <xf numFmtId="10" fontId="4" fillId="0" borderId="2" xfId="8" applyNumberFormat="1" applyFont="1" applyFill="1" applyBorder="1" applyAlignment="1" applyProtection="1">
      <alignment horizontal="left" vertical="center"/>
      <protection hidden="1"/>
    </xf>
    <xf numFmtId="10" fontId="4" fillId="0" borderId="2" xfId="9" applyNumberFormat="1" applyFont="1" applyFill="1" applyBorder="1" applyAlignment="1" applyProtection="1">
      <alignment vertical="top"/>
      <protection hidden="1"/>
    </xf>
    <xf numFmtId="10" fontId="4" fillId="0" borderId="2" xfId="10" applyNumberFormat="1" applyFont="1" applyFill="1" applyBorder="1" applyAlignment="1" applyProtection="1">
      <alignment horizontal="left" vertical="center"/>
      <protection hidden="1"/>
    </xf>
    <xf numFmtId="43" fontId="4" fillId="0" borderId="2" xfId="1" applyFont="1" applyFill="1" applyBorder="1" applyAlignment="1" applyProtection="1">
      <alignment vertical="top"/>
      <protection hidden="1"/>
    </xf>
    <xf numFmtId="171" fontId="4" fillId="0" borderId="2" xfId="11" applyNumberFormat="1" applyFont="1" applyFill="1" applyBorder="1" applyAlignment="1" applyProtection="1">
      <alignment horizontal="left" vertical="center"/>
      <protection hidden="1"/>
    </xf>
    <xf numFmtId="10" fontId="4" fillId="0" borderId="2" xfId="11" applyNumberFormat="1" applyFont="1" applyFill="1" applyBorder="1" applyAlignment="1" applyProtection="1">
      <alignment horizontal="left" vertical="center"/>
      <protection hidden="1"/>
    </xf>
    <xf numFmtId="0" fontId="4" fillId="0" borderId="2" xfId="11" applyFont="1" applyFill="1" applyBorder="1" applyAlignment="1" applyProtection="1">
      <alignment horizontal="left" vertical="center"/>
      <protection hidden="1"/>
    </xf>
    <xf numFmtId="9" fontId="4" fillId="0" borderId="2" xfId="9" applyFont="1" applyFill="1" applyBorder="1" applyAlignment="1" applyProtection="1">
      <alignment horizontal="left" vertical="center"/>
      <protection hidden="1"/>
    </xf>
    <xf numFmtId="10" fontId="4" fillId="0" borderId="2" xfId="9" applyNumberFormat="1" applyFont="1" applyFill="1" applyBorder="1" applyAlignment="1" applyProtection="1">
      <alignment horizontal="left" vertical="center"/>
      <protection hidden="1"/>
    </xf>
    <xf numFmtId="2" fontId="4" fillId="0" borderId="2" xfId="1" applyNumberFormat="1" applyFont="1" applyFill="1" applyBorder="1" applyAlignment="1" applyProtection="1">
      <alignment vertical="top"/>
      <protection hidden="1"/>
    </xf>
    <xf numFmtId="0" fontId="4" fillId="0" borderId="0" xfId="8" applyNumberFormat="1" applyFont="1" applyFill="1" applyBorder="1" applyAlignment="1" applyProtection="1">
      <alignment horizontal="center" vertical="top"/>
      <protection hidden="1"/>
    </xf>
    <xf numFmtId="168" fontId="4" fillId="0" borderId="0" xfId="8" applyFont="1" applyFill="1" applyBorder="1" applyAlignment="1" applyProtection="1">
      <alignment horizontal="left" vertical="top" wrapText="1"/>
    </xf>
    <xf numFmtId="172" fontId="4" fillId="0" borderId="0" xfId="11" applyNumberFormat="1" applyFont="1" applyFill="1" applyBorder="1" applyAlignment="1" applyProtection="1">
      <alignment vertical="top"/>
      <protection hidden="1"/>
    </xf>
    <xf numFmtId="43" fontId="4" fillId="3" borderId="2" xfId="1" applyFont="1" applyFill="1" applyBorder="1" applyAlignment="1" applyProtection="1">
      <alignment vertical="top"/>
      <protection hidden="1"/>
    </xf>
  </cellXfs>
  <cellStyles count="12">
    <cellStyle name="Currency [0]_Bal" xfId="3"/>
    <cellStyle name="for_CFS" xfId="7"/>
    <cellStyle name="Normal_Bal" xfId="2"/>
    <cellStyle name="Normal_Cash" xfId="6"/>
    <cellStyle name="Normal_Inc" xfId="5"/>
    <cellStyle name="Normal_RAT_EXP" xfId="11"/>
    <cellStyle name="Normal_RAT_EXP_1" xfId="8"/>
    <cellStyle name="Percent_RAT_EXP" xfId="9"/>
    <cellStyle name="Percent_RAT_EXP_1" xfId="10"/>
    <cellStyle name="Обычный" xfId="0" builtinId="0"/>
    <cellStyle name="Обычный_Fin_res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_analise_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al $"/>
      <sheetName val="Inc.State (грн)"/>
      <sheetName val="CF.State"/>
      <sheetName val="Ratios"/>
      <sheetName val="Форма№1"/>
      <sheetName val="Форма№2"/>
      <sheetName val="Форма№3"/>
      <sheetName val="Balance"/>
      <sheetName val="Ан_бал"/>
      <sheetName val="Ан_отчприб"/>
      <sheetName val="Inc.State$"/>
      <sheetName val="Ан_денсрв"/>
      <sheetName val="Chart1"/>
      <sheetName val="Chart2"/>
      <sheetName val="Chart3"/>
      <sheetName val="Chart4"/>
      <sheetName val="Chart5"/>
      <sheetName val="Chart6"/>
      <sheetName val="Chart7"/>
      <sheetName val="Chart8"/>
      <sheetName val="Chart9"/>
    </sheetNames>
    <sheetDataSet>
      <sheetData sheetId="0"/>
      <sheetData sheetId="1"/>
      <sheetData sheetId="2"/>
      <sheetData sheetId="3"/>
      <sheetData sheetId="4">
        <row r="2">
          <cell r="C2">
            <v>40544</v>
          </cell>
          <cell r="D2">
            <v>40909</v>
          </cell>
          <cell r="E2">
            <v>41275</v>
          </cell>
          <cell r="F2">
            <v>41640</v>
          </cell>
          <cell r="G2">
            <v>42005</v>
          </cell>
        </row>
        <row r="8">
          <cell r="C8">
            <v>9305.5</v>
          </cell>
          <cell r="D8">
            <v>9305.5</v>
          </cell>
          <cell r="E8">
            <v>9305.5</v>
          </cell>
          <cell r="F8">
            <v>4324.1000000000004</v>
          </cell>
          <cell r="G8">
            <v>4324.1000000000004</v>
          </cell>
        </row>
        <row r="9">
          <cell r="C9">
            <v>2931.1</v>
          </cell>
          <cell r="D9">
            <v>2931.1</v>
          </cell>
          <cell r="E9">
            <v>4611.8999999999996</v>
          </cell>
          <cell r="F9">
            <v>1572.1</v>
          </cell>
          <cell r="G9">
            <v>1399.7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2">
          <cell r="C12">
            <v>5714.4</v>
          </cell>
          <cell r="D12">
            <v>5714.4</v>
          </cell>
          <cell r="E12">
            <v>7792.2</v>
          </cell>
          <cell r="F12">
            <v>9531.7000000000007</v>
          </cell>
          <cell r="G12">
            <v>10558</v>
          </cell>
        </row>
        <row r="13">
          <cell r="C13">
            <v>521.29999999999995</v>
          </cell>
          <cell r="D13">
            <v>521.29999999999995</v>
          </cell>
          <cell r="E13">
            <v>1002.6</v>
          </cell>
          <cell r="F13">
            <v>1651.3</v>
          </cell>
          <cell r="G13">
            <v>1911.2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313.3</v>
          </cell>
          <cell r="D16">
            <v>313.3</v>
          </cell>
          <cell r="E16">
            <v>22.6</v>
          </cell>
          <cell r="F16">
            <v>0</v>
          </cell>
          <cell r="G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3">
          <cell r="C23">
            <v>59.6</v>
          </cell>
          <cell r="D23">
            <v>59.6</v>
          </cell>
          <cell r="E23">
            <v>165.5</v>
          </cell>
          <cell r="F23">
            <v>94.5</v>
          </cell>
          <cell r="G23">
            <v>93.1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0</v>
          </cell>
          <cell r="D25">
            <v>0</v>
          </cell>
          <cell r="E25">
            <v>0.5</v>
          </cell>
          <cell r="F25">
            <v>0</v>
          </cell>
          <cell r="G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3224.7</v>
          </cell>
          <cell r="D27">
            <v>3224.7</v>
          </cell>
          <cell r="E27">
            <v>5084.5</v>
          </cell>
          <cell r="F27">
            <v>8045.9</v>
          </cell>
          <cell r="G27">
            <v>10043.4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39">
          <cell r="C39">
            <v>18</v>
          </cell>
          <cell r="D39">
            <v>18</v>
          </cell>
          <cell r="E39">
            <v>224.2</v>
          </cell>
          <cell r="F39">
            <v>3217.7</v>
          </cell>
          <cell r="G39">
            <v>2614.6</v>
          </cell>
        </row>
        <row r="41">
          <cell r="C41">
            <v>80.5</v>
          </cell>
          <cell r="D41">
            <v>80.5</v>
          </cell>
          <cell r="E41">
            <v>72.099999999999994</v>
          </cell>
          <cell r="F41">
            <v>194.6</v>
          </cell>
          <cell r="G41">
            <v>286.89999999999998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>
            <v>6803.0999999999995</v>
          </cell>
          <cell r="D44">
            <v>6803.0999999999995</v>
          </cell>
          <cell r="E44">
            <v>8479.6</v>
          </cell>
          <cell r="F44">
            <v>18522.599999999999</v>
          </cell>
          <cell r="G44">
            <v>19363.7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52">
          <cell r="C52">
            <v>13688.1</v>
          </cell>
          <cell r="D52">
            <v>13688.1</v>
          </cell>
          <cell r="E52">
            <v>2000</v>
          </cell>
          <cell r="F52">
            <v>2758.6</v>
          </cell>
          <cell r="G52">
            <v>2758.6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>
            <v>0</v>
          </cell>
          <cell r="E55">
            <v>11739</v>
          </cell>
          <cell r="F55">
            <v>8797</v>
          </cell>
          <cell r="G55">
            <v>6798.9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8">
          <cell r="C58">
            <v>0</v>
          </cell>
          <cell r="D58">
            <v>0</v>
          </cell>
          <cell r="E58">
            <v>-1269.4000000000001</v>
          </cell>
          <cell r="F58">
            <v>-520</v>
          </cell>
          <cell r="G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12791</v>
          </cell>
          <cell r="D60">
            <v>12791</v>
          </cell>
          <cell r="E60">
            <v>9527.6</v>
          </cell>
          <cell r="F60">
            <v>11142.9</v>
          </cell>
          <cell r="G60">
            <v>10010.6</v>
          </cell>
        </row>
        <row r="65">
          <cell r="C65">
            <v>8</v>
          </cell>
          <cell r="D65">
            <v>8</v>
          </cell>
          <cell r="E65">
            <v>8</v>
          </cell>
          <cell r="F65">
            <v>0</v>
          </cell>
          <cell r="G65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3">
          <cell r="C73">
            <v>4437.3</v>
          </cell>
          <cell r="D73">
            <v>4437.3</v>
          </cell>
          <cell r="E73">
            <v>6357.9</v>
          </cell>
          <cell r="F73">
            <v>4170.2</v>
          </cell>
          <cell r="G73">
            <v>4657.2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15.6</v>
          </cell>
          <cell r="D79">
            <v>15.6</v>
          </cell>
          <cell r="E79">
            <v>11.7</v>
          </cell>
          <cell r="F79">
            <v>15.7</v>
          </cell>
          <cell r="G79">
            <v>13.5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14.5</v>
          </cell>
          <cell r="D81">
            <v>14.5</v>
          </cell>
          <cell r="E81">
            <v>21.1</v>
          </cell>
          <cell r="F81">
            <v>23.5</v>
          </cell>
          <cell r="G81">
            <v>31.8</v>
          </cell>
        </row>
        <row r="82">
          <cell r="C82">
            <v>30.9</v>
          </cell>
          <cell r="D82">
            <v>30.9</v>
          </cell>
          <cell r="E82">
            <v>45.6</v>
          </cell>
          <cell r="F82">
            <v>51</v>
          </cell>
          <cell r="G82">
            <v>69.2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E85">
            <v>0</v>
          </cell>
          <cell r="F85">
            <v>10329</v>
          </cell>
          <cell r="G85">
            <v>10562.3</v>
          </cell>
        </row>
        <row r="86">
          <cell r="C86">
            <v>5884.9</v>
          </cell>
          <cell r="D86">
            <v>5884.9</v>
          </cell>
          <cell r="E86">
            <v>10449.800000000001</v>
          </cell>
          <cell r="F86">
            <v>18012.099999999999</v>
          </cell>
          <cell r="G86">
            <v>20924.3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</sheetData>
      <sheetData sheetId="5">
        <row r="8">
          <cell r="C8">
            <v>22840.400000000001</v>
          </cell>
          <cell r="D8">
            <v>37408.400000000001</v>
          </cell>
          <cell r="E8">
            <v>58836.5</v>
          </cell>
          <cell r="F8">
            <v>18615</v>
          </cell>
        </row>
        <row r="9">
          <cell r="C9">
            <v>154.4</v>
          </cell>
          <cell r="D9">
            <v>188.7</v>
          </cell>
          <cell r="E9">
            <v>653.4</v>
          </cell>
          <cell r="F9">
            <v>71.400000000000006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C14">
            <v>18648.7</v>
          </cell>
          <cell r="D14">
            <v>33848.699999999997</v>
          </cell>
          <cell r="E14">
            <v>51876.9</v>
          </cell>
          <cell r="F14">
            <v>16313.4</v>
          </cell>
        </row>
        <row r="18">
          <cell r="C18">
            <v>440.9</v>
          </cell>
          <cell r="D18">
            <v>853.2</v>
          </cell>
          <cell r="E18">
            <v>1879.5</v>
          </cell>
          <cell r="F18">
            <v>359.3</v>
          </cell>
        </row>
        <row r="19">
          <cell r="C19">
            <v>2533.5</v>
          </cell>
          <cell r="D19">
            <v>1579.4</v>
          </cell>
          <cell r="E19">
            <v>1669.8</v>
          </cell>
          <cell r="F19">
            <v>809.3</v>
          </cell>
        </row>
        <row r="20">
          <cell r="C20">
            <v>1771.7</v>
          </cell>
          <cell r="D20">
            <v>2308.1999999999998</v>
          </cell>
          <cell r="E20">
            <v>2843.2</v>
          </cell>
          <cell r="F20">
            <v>679.7</v>
          </cell>
        </row>
        <row r="21">
          <cell r="C21">
            <v>429.2</v>
          </cell>
          <cell r="D21">
            <v>1862.5</v>
          </cell>
          <cell r="E21">
            <v>2137.6</v>
          </cell>
          <cell r="F21">
            <v>109.7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C26">
            <v>235.2</v>
          </cell>
          <cell r="D26">
            <v>209.4</v>
          </cell>
          <cell r="E26">
            <v>558.5</v>
          </cell>
          <cell r="F26">
            <v>87.2</v>
          </cell>
        </row>
        <row r="27">
          <cell r="C27">
            <v>0</v>
          </cell>
          <cell r="D27">
            <v>0</v>
          </cell>
          <cell r="E27">
            <v>511</v>
          </cell>
          <cell r="F27">
            <v>0</v>
          </cell>
        </row>
        <row r="28">
          <cell r="C28">
            <v>876</v>
          </cell>
          <cell r="D28">
            <v>798.4</v>
          </cell>
          <cell r="E28">
            <v>1375.3</v>
          </cell>
          <cell r="F28">
            <v>604.79999999999995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1076</v>
          </cell>
          <cell r="F30">
            <v>0</v>
          </cell>
        </row>
        <row r="34">
          <cell r="C34">
            <v>541.9</v>
          </cell>
          <cell r="D34">
            <v>88.8</v>
          </cell>
          <cell r="E34">
            <v>46</v>
          </cell>
          <cell r="F34">
            <v>20.100000000000001</v>
          </cell>
        </row>
      </sheetData>
      <sheetData sheetId="6"/>
      <sheetData sheetId="7">
        <row r="1">
          <cell r="B1" t="str">
            <v>Th. UAH</v>
          </cell>
          <cell r="C1" t="str">
            <v>Th. UAH</v>
          </cell>
        </row>
        <row r="4">
          <cell r="B4">
            <v>80.5</v>
          </cell>
          <cell r="C4">
            <v>80.5</v>
          </cell>
          <cell r="D4">
            <v>72.099999999999994</v>
          </cell>
          <cell r="E4">
            <v>194.6</v>
          </cell>
        </row>
        <row r="5">
          <cell r="B5">
            <v>3420.2999999999997</v>
          </cell>
          <cell r="C5">
            <v>3420.2999999999997</v>
          </cell>
          <cell r="D5">
            <v>2932.8</v>
          </cell>
          <cell r="E5">
            <v>6969.9000000000005</v>
          </cell>
        </row>
        <row r="6">
          <cell r="B6">
            <v>3284.2999999999997</v>
          </cell>
          <cell r="C6">
            <v>3284.2999999999997</v>
          </cell>
          <cell r="D6">
            <v>5250.5</v>
          </cell>
          <cell r="E6">
            <v>8140.4</v>
          </cell>
        </row>
        <row r="7">
          <cell r="B7">
            <v>18</v>
          </cell>
          <cell r="C7">
            <v>18</v>
          </cell>
          <cell r="D7">
            <v>224.2</v>
          </cell>
          <cell r="E7">
            <v>3217.7</v>
          </cell>
        </row>
        <row r="8">
          <cell r="B8">
            <v>6803.0999999999995</v>
          </cell>
          <cell r="C8">
            <v>6803.0999999999995</v>
          </cell>
          <cell r="D8">
            <v>8479.6</v>
          </cell>
          <cell r="E8">
            <v>18522.600000000002</v>
          </cell>
        </row>
        <row r="13">
          <cell r="B13">
            <v>521.29999999999995</v>
          </cell>
          <cell r="C13">
            <v>521.29999999999995</v>
          </cell>
          <cell r="D13">
            <v>1002.6</v>
          </cell>
          <cell r="E13">
            <v>1651.3</v>
          </cell>
        </row>
        <row r="14">
          <cell r="B14">
            <v>5193.0999999999995</v>
          </cell>
          <cell r="C14">
            <v>5193.0999999999995</v>
          </cell>
          <cell r="D14">
            <v>6789.5999999999995</v>
          </cell>
          <cell r="E14">
            <v>7880.4000000000005</v>
          </cell>
        </row>
        <row r="18">
          <cell r="B18">
            <v>6374.4</v>
          </cell>
          <cell r="C18">
            <v>6374.4</v>
          </cell>
          <cell r="D18">
            <v>4693.6000000000004</v>
          </cell>
          <cell r="E18">
            <v>2752.0000000000005</v>
          </cell>
        </row>
        <row r="19">
          <cell r="B19">
            <v>313.3</v>
          </cell>
          <cell r="C19">
            <v>313.3</v>
          </cell>
          <cell r="D19">
            <v>22.6</v>
          </cell>
          <cell r="E19">
            <v>0</v>
          </cell>
        </row>
        <row r="20">
          <cell r="B20">
            <v>11880.8</v>
          </cell>
          <cell r="C20">
            <v>11880.8</v>
          </cell>
          <cell r="D20">
            <v>11505.800000000001</v>
          </cell>
          <cell r="E20">
            <v>10632.400000000001</v>
          </cell>
        </row>
        <row r="22">
          <cell r="B22">
            <v>18683.899999999998</v>
          </cell>
          <cell r="C22">
            <v>18683.899999999998</v>
          </cell>
          <cell r="D22">
            <v>19985.400000000001</v>
          </cell>
          <cell r="E22">
            <v>29155.000000000004</v>
          </cell>
        </row>
        <row r="26">
          <cell r="B26">
            <v>1386.5999999999995</v>
          </cell>
          <cell r="C26">
            <v>1386.5999999999995</v>
          </cell>
          <cell r="D26">
            <v>4013.5000000000018</v>
          </cell>
          <cell r="E26">
            <v>3422.699999999998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4437.3</v>
          </cell>
          <cell r="C29">
            <v>4437.3</v>
          </cell>
          <cell r="D29">
            <v>6357.9</v>
          </cell>
          <cell r="E29">
            <v>4170.2</v>
          </cell>
        </row>
        <row r="30">
          <cell r="B30">
            <v>15.6</v>
          </cell>
          <cell r="C30">
            <v>15.6</v>
          </cell>
          <cell r="D30">
            <v>11.7</v>
          </cell>
          <cell r="E30">
            <v>15.7</v>
          </cell>
        </row>
        <row r="31">
          <cell r="B31">
            <v>30.9</v>
          </cell>
          <cell r="C31">
            <v>30.9</v>
          </cell>
          <cell r="D31">
            <v>45.6</v>
          </cell>
          <cell r="E31">
            <v>51</v>
          </cell>
        </row>
        <row r="32">
          <cell r="B32">
            <v>14.5</v>
          </cell>
          <cell r="C32">
            <v>14.5</v>
          </cell>
          <cell r="D32">
            <v>21.1</v>
          </cell>
          <cell r="E32">
            <v>10352.5</v>
          </cell>
        </row>
        <row r="33">
          <cell r="B33">
            <v>5884.9</v>
          </cell>
          <cell r="C33">
            <v>5884.9</v>
          </cell>
          <cell r="D33">
            <v>10449.800000000003</v>
          </cell>
          <cell r="E33">
            <v>18012.099999999999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9">
          <cell r="B39">
            <v>8</v>
          </cell>
          <cell r="C39">
            <v>8</v>
          </cell>
          <cell r="D39">
            <v>8</v>
          </cell>
          <cell r="E39">
            <v>0</v>
          </cell>
        </row>
        <row r="40">
          <cell r="C40">
            <v>5892.9</v>
          </cell>
          <cell r="D40">
            <v>10457.800000000003</v>
          </cell>
          <cell r="E40">
            <v>18012.099999999999</v>
          </cell>
        </row>
        <row r="45">
          <cell r="B45">
            <v>-897.10000000000036</v>
          </cell>
          <cell r="C45">
            <v>-897.10000000000036</v>
          </cell>
          <cell r="D45">
            <v>-2942</v>
          </cell>
          <cell r="E45">
            <v>107.29999999999927</v>
          </cell>
          <cell r="F45">
            <v>453.10000000000036</v>
          </cell>
        </row>
        <row r="47">
          <cell r="B47">
            <v>12791</v>
          </cell>
          <cell r="C47">
            <v>12791</v>
          </cell>
          <cell r="D47">
            <v>9527.6</v>
          </cell>
          <cell r="E47">
            <v>11142.9</v>
          </cell>
        </row>
        <row r="48">
          <cell r="B48">
            <v>18683.900000000001</v>
          </cell>
          <cell r="C48">
            <v>18683.900000000001</v>
          </cell>
          <cell r="D48">
            <v>19985.400000000001</v>
          </cell>
          <cell r="E48">
            <v>29155</v>
          </cell>
        </row>
      </sheetData>
      <sheetData sheetId="8"/>
      <sheetData sheetId="9"/>
      <sheetData sheetId="10">
        <row r="2">
          <cell r="B2" t="str">
            <v>Th. UAH</v>
          </cell>
          <cell r="C2" t="str">
            <v>Th. UAH</v>
          </cell>
          <cell r="D2" t="str">
            <v>Th. UAH</v>
          </cell>
        </row>
        <row r="3">
          <cell r="B3">
            <v>23126.9</v>
          </cell>
          <cell r="C3">
            <v>38072.9</v>
          </cell>
          <cell r="D3">
            <v>60062.6</v>
          </cell>
        </row>
        <row r="4">
          <cell r="B4">
            <v>18648.7</v>
          </cell>
          <cell r="C4">
            <v>33848.699999999997</v>
          </cell>
          <cell r="D4">
            <v>51876.9</v>
          </cell>
        </row>
        <row r="5">
          <cell r="B5">
            <v>4478.2000000000007</v>
          </cell>
          <cell r="C5">
            <v>4224.2000000000044</v>
          </cell>
          <cell r="D5">
            <v>8185.6999999999971</v>
          </cell>
        </row>
        <row r="6">
          <cell r="B6">
            <v>4734.3999999999996</v>
          </cell>
          <cell r="C6">
            <v>5750.1</v>
          </cell>
          <cell r="D6">
            <v>6650.6</v>
          </cell>
        </row>
        <row r="7">
          <cell r="B7">
            <v>-256.19999999999891</v>
          </cell>
          <cell r="C7">
            <v>-1525.899999999996</v>
          </cell>
          <cell r="D7">
            <v>1535.0999999999967</v>
          </cell>
        </row>
        <row r="8">
          <cell r="B8">
            <v>876</v>
          </cell>
          <cell r="C8">
            <v>798.4</v>
          </cell>
          <cell r="D8">
            <v>1375.3</v>
          </cell>
        </row>
        <row r="12">
          <cell r="B12">
            <v>-1438.8999999999987</v>
          </cell>
          <cell r="C12">
            <v>-2203.6999999999962</v>
          </cell>
          <cell r="D12">
            <v>107.29999999999677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51" sqref="G51"/>
    </sheetView>
  </sheetViews>
  <sheetFormatPr defaultRowHeight="15" x14ac:dyDescent="0.25"/>
  <cols>
    <col min="1" max="1" width="53.7109375" customWidth="1"/>
    <col min="2" max="6" width="11.28515625" bestFit="1" customWidth="1"/>
  </cols>
  <sheetData>
    <row r="1" spans="1:6" ht="15.75" thickBot="1" x14ac:dyDescent="0.3">
      <c r="A1" s="2" t="s">
        <v>0</v>
      </c>
      <c r="B1" s="3" t="s">
        <v>1</v>
      </c>
      <c r="C1" s="4" t="s">
        <v>2</v>
      </c>
      <c r="D1" s="4" t="s">
        <v>2</v>
      </c>
      <c r="E1" s="4" t="s">
        <v>2</v>
      </c>
      <c r="F1" s="4" t="s">
        <v>2</v>
      </c>
    </row>
    <row r="2" spans="1:6" x14ac:dyDescent="0.25">
      <c r="A2" s="5" t="s">
        <v>3</v>
      </c>
      <c r="B2" s="6">
        <f>[1]Форма№1!C2</f>
        <v>40544</v>
      </c>
      <c r="C2" s="7">
        <f>[1]Форма№1!D2</f>
        <v>40909</v>
      </c>
      <c r="D2" s="7">
        <f>[1]Форма№1!E2</f>
        <v>41275</v>
      </c>
      <c r="E2" s="7">
        <f>[1]Форма№1!F2</f>
        <v>41640</v>
      </c>
      <c r="F2" s="7">
        <f>[1]Форма№1!G2</f>
        <v>42005</v>
      </c>
    </row>
    <row r="3" spans="1:6" x14ac:dyDescent="0.25">
      <c r="A3" s="8" t="s">
        <v>4</v>
      </c>
      <c r="B3" s="9"/>
      <c r="C3" s="10"/>
      <c r="D3" s="11"/>
      <c r="E3" s="12"/>
      <c r="F3" s="13"/>
    </row>
    <row r="4" spans="1:6" x14ac:dyDescent="0.25">
      <c r="A4" s="13" t="s">
        <v>5</v>
      </c>
      <c r="B4" s="14">
        <f>(SUM([1]Форма№1!C41:C43))/5.3</f>
        <v>15.188679245283019</v>
      </c>
      <c r="C4" s="15">
        <f>(SUM([1]Форма№1!D41:D43))/5.3</f>
        <v>15.188679245283019</v>
      </c>
      <c r="D4" s="15">
        <f>(SUM([1]Форма№1!E41:E43))/5.3</f>
        <v>13.60377358490566</v>
      </c>
      <c r="E4" s="15">
        <f>(SUM([1]Форма№1!F41:F43))/5.3</f>
        <v>36.716981132075475</v>
      </c>
      <c r="F4" s="15">
        <f>(SUM([1]Форма№1!G41:G43))/5.3</f>
        <v>54.132075471698109</v>
      </c>
    </row>
    <row r="5" spans="1:6" x14ac:dyDescent="0.25">
      <c r="A5" s="13" t="s">
        <v>6</v>
      </c>
      <c r="B5" s="14">
        <f>([1]Форма№1!C44-SUM([1]Форма№1!C41:C43)-SUM([1]Форма№1!C23:C28)-[1]Форма№1!C39)/5.3</f>
        <v>645.33962264150944</v>
      </c>
      <c r="C5" s="15">
        <f>([1]Форма№1!D44-SUM([1]Форма№1!D41:D43)-SUM([1]Форма№1!D23:D28)-[1]Форма№1!D39)/5.3</f>
        <v>645.33962264150944</v>
      </c>
      <c r="D5" s="15">
        <f>([1]Форма№1!E44-SUM([1]Форма№1!E41:E43)-SUM([1]Форма№1!E23:E28)-[1]Форма№1!E39)/5.3</f>
        <v>553.35849056603774</v>
      </c>
      <c r="E5" s="15">
        <f>([1]Форма№1!F44-SUM([1]Форма№1!F41:F43)-SUM([1]Форма№1!F23:F28)-[1]Форма№1!F39)/5.3</f>
        <v>1315.0754716981135</v>
      </c>
      <c r="F5" s="15">
        <f>([1]Форма№1!G44-SUM([1]Форма№1!G41:G43)-SUM([1]Форма№1!G23:G28)-[1]Форма№1!G39)/5.3</f>
        <v>1193.5283018867922</v>
      </c>
    </row>
    <row r="6" spans="1:6" x14ac:dyDescent="0.25">
      <c r="A6" s="13" t="s">
        <v>7</v>
      </c>
      <c r="B6" s="14">
        <f>(SUM([1]Форма№1!C23:C27))/5.3</f>
        <v>619.67924528301887</v>
      </c>
      <c r="C6" s="15">
        <f>(SUM([1]Форма№1!D23:D27))/5.3</f>
        <v>619.67924528301887</v>
      </c>
      <c r="D6" s="15">
        <f>(SUM([1]Форма№1!E23:E27))/5.3</f>
        <v>990.66037735849056</v>
      </c>
      <c r="E6" s="15">
        <f>(SUM([1]Форма№1!F23:F27))/5.3</f>
        <v>1535.9245283018868</v>
      </c>
      <c r="F6" s="15">
        <f>(SUM([1]Форма№1!G23:G27))/5.3</f>
        <v>1912.5471698113208</v>
      </c>
    </row>
    <row r="7" spans="1:6" x14ac:dyDescent="0.25">
      <c r="A7" s="13" t="s">
        <v>8</v>
      </c>
      <c r="B7" s="14">
        <f>(SUM([1]Форма№1!C28,[1]Форма№1!C39)/5.3)</f>
        <v>3.3962264150943398</v>
      </c>
      <c r="C7" s="15">
        <f>(SUM([1]Форма№1!D28,[1]Форма№1!D39)/5.3)</f>
        <v>3.3962264150943398</v>
      </c>
      <c r="D7" s="15">
        <f>(SUM([1]Форма№1!E28,[1]Форма№1!E39)/5.3)</f>
        <v>42.301886792452827</v>
      </c>
      <c r="E7" s="15">
        <f>(SUM([1]Форма№1!F28,[1]Форма№1!F39)/5.3)</f>
        <v>607.11320754716985</v>
      </c>
      <c r="F7" s="15">
        <f>(SUM([1]Форма№1!G28,[1]Форма№1!G39)/5.3)</f>
        <v>493.32075471698113</v>
      </c>
    </row>
    <row r="8" spans="1:6" x14ac:dyDescent="0.25">
      <c r="A8" s="16" t="s">
        <v>9</v>
      </c>
      <c r="B8" s="17">
        <f>SUM(B4:B7)</f>
        <v>1283.6037735849056</v>
      </c>
      <c r="C8" s="18">
        <f>SUM(C4:C7)</f>
        <v>1283.6037735849056</v>
      </c>
      <c r="D8" s="18">
        <f>SUM(D4:D7)</f>
        <v>1599.9245283018868</v>
      </c>
      <c r="E8" s="18">
        <f>SUM(E4:E7)</f>
        <v>3494.8301886792451</v>
      </c>
      <c r="F8" s="18">
        <f>SUM(F4:F7)</f>
        <v>3653.5283018867922</v>
      </c>
    </row>
    <row r="9" spans="1:6" x14ac:dyDescent="0.25">
      <c r="A9" s="19" t="s">
        <v>10</v>
      </c>
      <c r="B9" s="20"/>
      <c r="C9" s="21"/>
      <c r="D9" s="22"/>
      <c r="E9" s="23"/>
      <c r="F9" s="24"/>
    </row>
    <row r="10" spans="1:6" x14ac:dyDescent="0.25">
      <c r="A10" s="13" t="s">
        <v>11</v>
      </c>
      <c r="B10" s="25"/>
      <c r="C10" s="24"/>
      <c r="D10" s="24"/>
      <c r="E10" s="24"/>
      <c r="F10" s="24"/>
    </row>
    <row r="11" spans="1:6" x14ac:dyDescent="0.25">
      <c r="A11" s="13" t="s">
        <v>12</v>
      </c>
      <c r="B11" s="25"/>
      <c r="C11" s="24"/>
      <c r="D11" s="24"/>
      <c r="E11" s="24"/>
      <c r="F11" s="24"/>
    </row>
    <row r="12" spans="1:6" x14ac:dyDescent="0.25">
      <c r="A12" s="26" t="s">
        <v>13</v>
      </c>
      <c r="B12" s="14">
        <f>([1]Форма№1!C12)/5.3</f>
        <v>1078.1886792452831</v>
      </c>
      <c r="C12" s="15">
        <f>([1]Форма№1!D12)/5.3</f>
        <v>1078.1886792452831</v>
      </c>
      <c r="D12" s="15">
        <f>([1]Форма№1!E12)/5.3</f>
        <v>1470.2264150943397</v>
      </c>
      <c r="E12" s="15">
        <f>([1]Форма№1!F12)/5.3</f>
        <v>1798.4339622641512</v>
      </c>
      <c r="F12" s="15">
        <f>([1]Форма№1!G12)/5.3</f>
        <v>1992.0754716981132</v>
      </c>
    </row>
    <row r="13" spans="1:6" x14ac:dyDescent="0.25">
      <c r="A13" s="13" t="s">
        <v>14</v>
      </c>
      <c r="B13" s="14">
        <f>([1]Форма№1!C13)/5.3</f>
        <v>98.35849056603773</v>
      </c>
      <c r="C13" s="15">
        <f>([1]Форма№1!D13)/5.3</f>
        <v>98.35849056603773</v>
      </c>
      <c r="D13" s="15">
        <f>([1]Форма№1!E13)/5.3</f>
        <v>189.16981132075472</v>
      </c>
      <c r="E13" s="15">
        <f>([1]Форма№1!F13)/5.3</f>
        <v>311.56603773584908</v>
      </c>
      <c r="F13" s="15">
        <f>([1]Форма№1!G13)/5.3</f>
        <v>360.6037735849057</v>
      </c>
    </row>
    <row r="14" spans="1:6" x14ac:dyDescent="0.25">
      <c r="A14" s="26" t="s">
        <v>15</v>
      </c>
      <c r="B14" s="17">
        <f>B12-B13</f>
        <v>979.83018867924534</v>
      </c>
      <c r="C14" s="18">
        <f>C12-C13</f>
        <v>979.83018867924534</v>
      </c>
      <c r="D14" s="18">
        <f>D12-D13</f>
        <v>1281.056603773585</v>
      </c>
      <c r="E14" s="18">
        <f>E12-E13</f>
        <v>1486.8679245283022</v>
      </c>
      <c r="F14" s="18">
        <f>F12-F13</f>
        <v>1631.4716981132076</v>
      </c>
    </row>
    <row r="15" spans="1:6" x14ac:dyDescent="0.25">
      <c r="A15" s="19" t="s">
        <v>16</v>
      </c>
      <c r="B15" s="20"/>
      <c r="C15" s="21"/>
      <c r="D15" s="22"/>
      <c r="E15" s="23"/>
      <c r="F15" s="27"/>
    </row>
    <row r="16" spans="1:6" x14ac:dyDescent="0.25">
      <c r="A16" s="13" t="s">
        <v>17</v>
      </c>
      <c r="B16" s="17">
        <f>([1]Форма№1!C8)/5.3</f>
        <v>1755.7547169811321</v>
      </c>
      <c r="C16" s="18">
        <f>([1]Форма№1!D8)/5.3</f>
        <v>1755.7547169811321</v>
      </c>
      <c r="D16" s="18">
        <f>([1]Форма№1!E8)/5.3</f>
        <v>1755.7547169811321</v>
      </c>
      <c r="E16" s="18">
        <f>([1]Форма№1!F8)/5.3</f>
        <v>815.86792452830196</v>
      </c>
      <c r="F16" s="18">
        <f>([1]Форма№1!G8)/5.3</f>
        <v>815.86792452830196</v>
      </c>
    </row>
    <row r="17" spans="1:6" x14ac:dyDescent="0.25">
      <c r="A17" s="13" t="s">
        <v>18</v>
      </c>
      <c r="B17" s="14">
        <f>([1]Форма№1!C9)/5.3</f>
        <v>553.03773584905662</v>
      </c>
      <c r="C17" s="15">
        <f>([1]Форма№1!D9)/5.3</f>
        <v>553.03773584905662</v>
      </c>
      <c r="D17" s="15">
        <f>([1]Форма№1!E9)/5.3</f>
        <v>870.16981132075466</v>
      </c>
      <c r="E17" s="15">
        <f>([1]Форма№1!F9)/5.3</f>
        <v>296.62264150943395</v>
      </c>
      <c r="F17" s="15">
        <f>([1]Форма№1!G9)/5.3</f>
        <v>264.09433962264154</v>
      </c>
    </row>
    <row r="18" spans="1:6" x14ac:dyDescent="0.25">
      <c r="A18" s="26" t="s">
        <v>19</v>
      </c>
      <c r="B18" s="17">
        <f>B16-B17</f>
        <v>1202.7169811320755</v>
      </c>
      <c r="C18" s="18">
        <f>C16-C17</f>
        <v>1202.7169811320755</v>
      </c>
      <c r="D18" s="18">
        <f>D16-D17</f>
        <v>885.58490566037744</v>
      </c>
      <c r="E18" s="18">
        <f>E16-E17</f>
        <v>519.24528301886801</v>
      </c>
      <c r="F18" s="18">
        <f>F16-F17</f>
        <v>551.77358490566041</v>
      </c>
    </row>
    <row r="19" spans="1:6" x14ac:dyDescent="0.25">
      <c r="A19" s="19" t="s">
        <v>20</v>
      </c>
      <c r="B19" s="14">
        <f>(SUM([1]Форма№1!C10,[1]Форма№1!C15:C19))/5.3</f>
        <v>59.113207547169814</v>
      </c>
      <c r="C19" s="15">
        <f>(SUM([1]Форма№1!D10,[1]Форма№1!D15:D19))/5.3</f>
        <v>59.113207547169814</v>
      </c>
      <c r="D19" s="15">
        <f>(SUM([1]Форма№1!E10,[1]Форма№1!E15:E19))/5.3</f>
        <v>4.2641509433962268</v>
      </c>
      <c r="E19" s="15">
        <f>(SUM([1]Форма№1!F10,[1]Форма№1!F15:F19))/5.3</f>
        <v>0</v>
      </c>
      <c r="F19" s="15">
        <f>(SUM([1]Форма№1!G10,[1]Форма№1!G15:G19))/5.3</f>
        <v>0</v>
      </c>
    </row>
    <row r="20" spans="1:6" x14ac:dyDescent="0.25">
      <c r="A20" s="26" t="s">
        <v>21</v>
      </c>
      <c r="B20" s="14">
        <f>B14+B18+B19</f>
        <v>2241.6603773584902</v>
      </c>
      <c r="C20" s="15">
        <f>C14+C18+C19</f>
        <v>2241.6603773584902</v>
      </c>
      <c r="D20" s="15">
        <f>D14+D18+D19</f>
        <v>2170.9056603773588</v>
      </c>
      <c r="E20" s="15">
        <f>E14+E18+E19</f>
        <v>2006.1132075471701</v>
      </c>
      <c r="F20" s="15">
        <f>F14+F18+F19</f>
        <v>2183.2452830188681</v>
      </c>
    </row>
    <row r="21" spans="1:6" x14ac:dyDescent="0.25">
      <c r="A21" s="8" t="s">
        <v>22</v>
      </c>
      <c r="B21" s="14">
        <f>[1]Форма№1!C45</f>
        <v>0</v>
      </c>
      <c r="C21" s="15">
        <f>[1]Форма№1!D45</f>
        <v>0</v>
      </c>
      <c r="D21" s="15">
        <f>[1]Форма№1!E45</f>
        <v>0</v>
      </c>
      <c r="E21" s="15">
        <f>[1]Форма№1!F45</f>
        <v>0</v>
      </c>
      <c r="F21" s="15">
        <f>[1]Форма№1!G45</f>
        <v>0</v>
      </c>
    </row>
    <row r="22" spans="1:6" x14ac:dyDescent="0.25">
      <c r="A22" s="26" t="s">
        <v>23</v>
      </c>
      <c r="B22" s="17">
        <f>SUM(B8,B14,B18,B19,B21)</f>
        <v>3525.2641509433961</v>
      </c>
      <c r="C22" s="18">
        <f>SUM(C8,C14,C18,C19,C21)</f>
        <v>3525.2641509433961</v>
      </c>
      <c r="D22" s="18">
        <f>SUM(D8,D14,D18,D19,D21)</f>
        <v>3770.8301886792451</v>
      </c>
      <c r="E22" s="18">
        <f>SUM(E8,E14,E18,E19,E21)</f>
        <v>5500.9433962264147</v>
      </c>
      <c r="F22" s="18">
        <f>SUM(F8,F14,F18,F19,F21)</f>
        <v>5836.7735849056608</v>
      </c>
    </row>
    <row r="23" spans="1:6" x14ac:dyDescent="0.25">
      <c r="A23" s="25"/>
      <c r="B23" s="14"/>
      <c r="C23" s="21"/>
      <c r="D23" s="28"/>
      <c r="E23" s="29"/>
      <c r="F23" s="24"/>
    </row>
    <row r="24" spans="1:6" x14ac:dyDescent="0.25">
      <c r="A24" s="19" t="s">
        <v>24</v>
      </c>
      <c r="B24" s="30"/>
      <c r="C24" s="31"/>
      <c r="D24" s="31"/>
      <c r="E24" s="31"/>
      <c r="F24" s="24"/>
    </row>
    <row r="25" spans="1:6" x14ac:dyDescent="0.25">
      <c r="A25" s="19" t="s">
        <v>25</v>
      </c>
      <c r="B25" s="14"/>
      <c r="C25" s="21"/>
      <c r="D25" s="28"/>
      <c r="E25" s="29"/>
      <c r="F25" s="24"/>
    </row>
    <row r="26" spans="1:6" x14ac:dyDescent="0.25">
      <c r="A26" s="13" t="s">
        <v>26</v>
      </c>
      <c r="B26" s="14">
        <f>([1]Форма№1!C86-SUM([1]Форма№1!C78:C85)-[1]Форма№1!C73-[1]Форма№1!C74-[1]Форма№1!C75)/5.3</f>
        <v>261.62264150943389</v>
      </c>
      <c r="C26" s="15">
        <f>([1]Форма№1!D86-SUM([1]Форма№1!D78:D85)-[1]Форма№1!D73-[1]Форма№1!D74-[1]Форма№1!D75)/5.3</f>
        <v>261.62264150943389</v>
      </c>
      <c r="D26" s="15">
        <f>([1]Форма№1!E86-SUM([1]Форма№1!E78:E85)-[1]Форма№1!E73-[1]Форма№1!E74-[1]Форма№1!E75)/5.3</f>
        <v>757.26415094339654</v>
      </c>
      <c r="E26" s="15">
        <f>([1]Форма№1!F86-SUM([1]Форма№1!F78:F85)-[1]Форма№1!F73-[1]Форма№1!F74-[1]Форма№1!F75)/5.3</f>
        <v>645.79245283018827</v>
      </c>
      <c r="F26" s="15">
        <f>([1]Форма№1!G86-SUM([1]Форма№1!G78:G85)-[1]Форма№1!G73-[1]Форма№1!G74-[1]Форма№1!G75)/5.3</f>
        <v>1054.7735849056605</v>
      </c>
    </row>
    <row r="27" spans="1:6" x14ac:dyDescent="0.25">
      <c r="A27" s="13" t="s">
        <v>27</v>
      </c>
      <c r="B27" s="14">
        <f>([1]Форма№1!C75)/5.3</f>
        <v>0</v>
      </c>
      <c r="C27" s="15">
        <f>([1]Форма№1!D75)/5.3</f>
        <v>0</v>
      </c>
      <c r="D27" s="15">
        <f>([1]Форма№1!E75)/5.3</f>
        <v>0</v>
      </c>
      <c r="E27" s="15">
        <f>([1]Форма№1!F75)/5.3</f>
        <v>0</v>
      </c>
      <c r="F27" s="15">
        <f>([1]Форма№1!G75)/5.3</f>
        <v>0</v>
      </c>
    </row>
    <row r="28" spans="1:6" x14ac:dyDescent="0.25">
      <c r="A28" s="13" t="s">
        <v>28</v>
      </c>
      <c r="B28" s="14">
        <f>([1]Форма№1!C78)/5.3</f>
        <v>0</v>
      </c>
      <c r="C28" s="15">
        <f>([1]Форма№1!D78)/5.3</f>
        <v>0</v>
      </c>
      <c r="D28" s="15">
        <f>([1]Форма№1!E78)/5.3</f>
        <v>0</v>
      </c>
      <c r="E28" s="15">
        <f>([1]Форма№1!F78)/5.3</f>
        <v>0</v>
      </c>
      <c r="F28" s="15">
        <f>([1]Форма№1!G78)/5.3</f>
        <v>0</v>
      </c>
    </row>
    <row r="29" spans="1:6" x14ac:dyDescent="0.25">
      <c r="A29" s="13" t="s">
        <v>29</v>
      </c>
      <c r="B29" s="14">
        <f>([1]Форма№1!C73)/5.3</f>
        <v>837.2264150943397</v>
      </c>
      <c r="C29" s="15">
        <f>([1]Форма№1!D73)/5.3</f>
        <v>837.2264150943397</v>
      </c>
      <c r="D29" s="15">
        <f>([1]Форма№1!E73)/5.3</f>
        <v>1199.6037735849056</v>
      </c>
      <c r="E29" s="15">
        <f>([1]Форма№1!F73)/5.3</f>
        <v>786.83018867924523</v>
      </c>
      <c r="F29" s="15">
        <f>([1]Форма№1!G73)/5.3</f>
        <v>878.71698113207549</v>
      </c>
    </row>
    <row r="30" spans="1:6" x14ac:dyDescent="0.25">
      <c r="A30" s="13" t="s">
        <v>30</v>
      </c>
      <c r="B30" s="14">
        <f>([1]Форма№1!C79)/5.3</f>
        <v>2.9433962264150946</v>
      </c>
      <c r="C30" s="15">
        <f>([1]Форма№1!D79)/5.3</f>
        <v>2.9433962264150946</v>
      </c>
      <c r="D30" s="15">
        <f>([1]Форма№1!E79)/5.3</f>
        <v>2.2075471698113205</v>
      </c>
      <c r="E30" s="15">
        <f>([1]Форма№1!F79)/5.3</f>
        <v>2.9622641509433962</v>
      </c>
      <c r="F30" s="15">
        <f>([1]Форма№1!G79)/5.3</f>
        <v>2.5471698113207548</v>
      </c>
    </row>
    <row r="31" spans="1:6" x14ac:dyDescent="0.25">
      <c r="A31" s="13" t="s">
        <v>31</v>
      </c>
      <c r="B31" s="14">
        <f>([1]Форма№1!C82)/5.3</f>
        <v>5.8301886792452828</v>
      </c>
      <c r="C31" s="15">
        <f>([1]Форма№1!D82)/5.3</f>
        <v>5.8301886792452828</v>
      </c>
      <c r="D31" s="15">
        <f>([1]Форма№1!E82)/5.3</f>
        <v>8.6037735849056602</v>
      </c>
      <c r="E31" s="15">
        <f>([1]Форма№1!F82)/5.3</f>
        <v>9.6226415094339632</v>
      </c>
      <c r="F31" s="15">
        <f>([1]Форма№1!G82)/5.3</f>
        <v>13.056603773584907</v>
      </c>
    </row>
    <row r="32" spans="1:6" x14ac:dyDescent="0.25">
      <c r="A32" s="13" t="s">
        <v>32</v>
      </c>
      <c r="B32" s="14">
        <f>(SUM([1]Форма№1!C81,[1]Форма№1!C80,[1]Форма№1!C83,[1]Форма№1!C84,[1]Форма№1!C85,[1]Форма№1!C74))/5.3</f>
        <v>2.7358490566037736</v>
      </c>
      <c r="C32" s="15">
        <f>(SUM([1]Форма№1!D81,[1]Форма№1!D80,[1]Форма№1!D83,[1]Форма№1!D84,[1]Форма№1!D85,[1]Форма№1!D74))/5.3</f>
        <v>2.7358490566037736</v>
      </c>
      <c r="D32" s="15">
        <f>(SUM([1]Форма№1!E81,[1]Форма№1!E80,[1]Форма№1!E83,[1]Форма№1!E84,[1]Форма№1!E85,[1]Форма№1!E74))/5.3</f>
        <v>3.9811320754716983</v>
      </c>
      <c r="E32" s="15">
        <f>(SUM([1]Форма№1!F81,[1]Форма№1!F80,[1]Форма№1!F83,[1]Форма№1!F84,[1]Форма№1!F85,[1]Форма№1!F74))/5.3</f>
        <v>1953.3018867924529</v>
      </c>
      <c r="F32" s="15">
        <f>(SUM([1]Форма№1!G81,[1]Форма№1!G80,[1]Форма№1!G83,[1]Форма№1!G84,[1]Форма№1!G85,[1]Форма№1!G74))/5.3</f>
        <v>1998.8867924528299</v>
      </c>
    </row>
    <row r="33" spans="1:6" x14ac:dyDescent="0.25">
      <c r="A33" s="26" t="s">
        <v>33</v>
      </c>
      <c r="B33" s="17">
        <f>SUM(B26:B32)</f>
        <v>1110.3584905660377</v>
      </c>
      <c r="C33" s="18">
        <f>SUM(C26:C32)</f>
        <v>1110.3584905660377</v>
      </c>
      <c r="D33" s="18">
        <f>SUM(D26:D32)</f>
        <v>1971.6603773584909</v>
      </c>
      <c r="E33" s="18">
        <f>SUM(E26:E32)</f>
        <v>3398.5094339622638</v>
      </c>
      <c r="F33" s="18">
        <f>SUM(F26:F32)</f>
        <v>3947.9811320754716</v>
      </c>
    </row>
    <row r="34" spans="1:6" x14ac:dyDescent="0.25">
      <c r="A34" s="19" t="s">
        <v>34</v>
      </c>
      <c r="B34" s="14"/>
      <c r="C34" s="21"/>
      <c r="D34" s="28"/>
      <c r="E34" s="29"/>
      <c r="F34" s="24"/>
    </row>
    <row r="35" spans="1:6" x14ac:dyDescent="0.25">
      <c r="A35" s="13" t="s">
        <v>35</v>
      </c>
      <c r="B35" s="14">
        <f>[1]Форма№1!C67</f>
        <v>0</v>
      </c>
      <c r="C35" s="15">
        <f>[1]Форма№1!D67</f>
        <v>0</v>
      </c>
      <c r="D35" s="15">
        <f>[1]Форма№1!E67</f>
        <v>0</v>
      </c>
      <c r="E35" s="15">
        <f>[1]Форма№1!F67</f>
        <v>0</v>
      </c>
      <c r="F35" s="15">
        <f>[1]Форма№1!G67</f>
        <v>0</v>
      </c>
    </row>
    <row r="36" spans="1:6" x14ac:dyDescent="0.25">
      <c r="A36" s="13" t="s">
        <v>36</v>
      </c>
      <c r="B36" s="14">
        <f>SUM([1]Форма№1!C68:C70)</f>
        <v>0</v>
      </c>
      <c r="C36" s="15">
        <f>SUM([1]Форма№1!D68:D70)</f>
        <v>0</v>
      </c>
      <c r="D36" s="15">
        <f>SUM([1]Форма№1!E68:E70)</f>
        <v>0</v>
      </c>
      <c r="E36" s="15">
        <f>SUM([1]Форма№1!F68:F70)</f>
        <v>0</v>
      </c>
      <c r="F36" s="15">
        <f>SUM([1]Форма№1!G68:G70)</f>
        <v>0</v>
      </c>
    </row>
    <row r="37" spans="1:6" x14ac:dyDescent="0.25">
      <c r="A37" s="13" t="s">
        <v>37</v>
      </c>
      <c r="B37" s="14">
        <f>[1]Форма№1!C87</f>
        <v>0</v>
      </c>
      <c r="C37" s="15">
        <f>[1]Форма№1!D87</f>
        <v>0</v>
      </c>
      <c r="D37" s="15">
        <f>[1]Форма№1!E87</f>
        <v>0</v>
      </c>
      <c r="E37" s="15">
        <f>[1]Форма№1!F87</f>
        <v>0</v>
      </c>
      <c r="F37" s="15">
        <f>[1]Форма№1!G87</f>
        <v>0</v>
      </c>
    </row>
    <row r="38" spans="1:6" x14ac:dyDescent="0.25">
      <c r="A38" s="26" t="s">
        <v>38</v>
      </c>
      <c r="B38" s="17">
        <f>SUM(B35:B37)</f>
        <v>0</v>
      </c>
      <c r="C38" s="18">
        <f>SUM(C35:C37)</f>
        <v>0</v>
      </c>
      <c r="D38" s="18">
        <f>SUM(D35:D37)</f>
        <v>0</v>
      </c>
      <c r="E38" s="18">
        <f>SUM(E35:E37)</f>
        <v>0</v>
      </c>
      <c r="F38" s="18">
        <f>SUM(F35:F37)</f>
        <v>0</v>
      </c>
    </row>
    <row r="39" spans="1:6" x14ac:dyDescent="0.25">
      <c r="A39" s="26" t="s">
        <v>39</v>
      </c>
      <c r="B39" s="17">
        <f>(([1]Форма№1!C65))/5.3</f>
        <v>1.5094339622641511</v>
      </c>
      <c r="C39" s="18">
        <f>(([1]Форма№1!D65))/5.3</f>
        <v>1.5094339622641511</v>
      </c>
      <c r="D39" s="18">
        <f>(([1]Форма№1!E65))/5.3</f>
        <v>1.5094339622641511</v>
      </c>
      <c r="E39" s="18">
        <f>(([1]Форма№1!F65))/5.3</f>
        <v>0</v>
      </c>
      <c r="F39" s="18">
        <f>(([1]Форма№1!G65))/5.3</f>
        <v>0</v>
      </c>
    </row>
    <row r="40" spans="1:6" x14ac:dyDescent="0.25">
      <c r="A40" s="26" t="s">
        <v>40</v>
      </c>
      <c r="B40" s="17">
        <f>SUM(B33,B38,B39)</f>
        <v>1111.867924528302</v>
      </c>
      <c r="C40" s="18">
        <f>SUM(C33,C38,C39)</f>
        <v>1111.867924528302</v>
      </c>
      <c r="D40" s="18">
        <f>SUM(D33,D38,D39)</f>
        <v>1973.1698113207551</v>
      </c>
      <c r="E40" s="18">
        <f>SUM(E33,E38,E39)</f>
        <v>3398.5094339622638</v>
      </c>
      <c r="F40" s="18">
        <f>SUM(F33,F38,F39)</f>
        <v>3947.9811320754716</v>
      </c>
    </row>
    <row r="41" spans="1:6" x14ac:dyDescent="0.25">
      <c r="A41" s="19" t="s">
        <v>41</v>
      </c>
      <c r="B41" s="20"/>
      <c r="C41" s="32"/>
      <c r="D41" s="33"/>
      <c r="E41" s="34"/>
      <c r="F41" s="35"/>
    </row>
    <row r="42" spans="1:6" x14ac:dyDescent="0.25">
      <c r="A42" s="13" t="s">
        <v>42</v>
      </c>
      <c r="B42" s="14">
        <f>([1]Форма№1!C52)/5.3</f>
        <v>2582.6603773584907</v>
      </c>
      <c r="C42" s="15">
        <f>([1]Форма№1!D52)/5.3</f>
        <v>2582.6603773584907</v>
      </c>
      <c r="D42" s="15">
        <f>([1]Форма№1!E52)/5.3</f>
        <v>377.35849056603774</v>
      </c>
      <c r="E42" s="15">
        <f>([1]Форма№1!F52)/5.3</f>
        <v>520.4905660377359</v>
      </c>
      <c r="F42" s="15">
        <f>([1]Форма№1!G52)/5.3</f>
        <v>520.4905660377359</v>
      </c>
    </row>
    <row r="43" spans="1:6" x14ac:dyDescent="0.25">
      <c r="A43" s="13" t="s">
        <v>43</v>
      </c>
      <c r="B43" s="14">
        <f>(SUM([1]Форма№1!C53:C55))/5.3</f>
        <v>0</v>
      </c>
      <c r="C43" s="15">
        <f>(SUM([1]Форма№1!D53:D55))/5.3</f>
        <v>0</v>
      </c>
      <c r="D43" s="15">
        <f>(SUM([1]Форма№1!E53:E55))/5.3</f>
        <v>2214.9056603773583</v>
      </c>
      <c r="E43" s="15">
        <f>(SUM([1]Форма№1!F53:F55))/5.3</f>
        <v>1659.8113207547171</v>
      </c>
      <c r="F43" s="15">
        <f>(SUM([1]Форма№1!G53:G55))/5.3</f>
        <v>1282.8113207547169</v>
      </c>
    </row>
    <row r="44" spans="1:6" x14ac:dyDescent="0.25">
      <c r="A44" s="13" t="s">
        <v>44</v>
      </c>
      <c r="B44" s="14">
        <f>([1]Форма№1!C56)/5.3</f>
        <v>0</v>
      </c>
      <c r="C44" s="15">
        <f>([1]Форма№1!D56)/5.3</f>
        <v>0</v>
      </c>
      <c r="D44" s="15">
        <f>([1]Форма№1!E56)/5.3</f>
        <v>0</v>
      </c>
      <c r="E44" s="15">
        <f>([1]Форма№1!F56)/5.3</f>
        <v>0</v>
      </c>
      <c r="F44" s="15">
        <f>([1]Форма№1!G56)/5.3</f>
        <v>0</v>
      </c>
    </row>
    <row r="45" spans="1:6" x14ac:dyDescent="0.25">
      <c r="A45" s="13" t="s">
        <v>45</v>
      </c>
      <c r="B45" s="14">
        <f>([1]Форма№1!C60-SUM([1]Форма№1!C52:C56,[1]Форма№1!C58:C59))/5.3</f>
        <v>-169.26415094339629</v>
      </c>
      <c r="C45" s="15">
        <f>([1]Форма№1!D60-SUM([1]Форма№1!D52:D56,[1]Форма№1!D58:D59))/5.3</f>
        <v>-169.26415094339629</v>
      </c>
      <c r="D45" s="15">
        <f>([1]Форма№1!E60-SUM([1]Форма№1!E52:E56,[1]Форма№1!E58:E59))/5.3</f>
        <v>-555.09433962264154</v>
      </c>
      <c r="E45" s="15">
        <f>([1]Форма№1!F60-SUM([1]Форма№1!F52:F56,[1]Форма№1!F58:F59))/5.3</f>
        <v>20.245283018867788</v>
      </c>
      <c r="F45" s="15">
        <f>([1]Форма№1!G60-SUM([1]Форма№1!G52:G56,[1]Форма№1!G58:G59))/5.3</f>
        <v>85.490566037735917</v>
      </c>
    </row>
    <row r="46" spans="1:6" x14ac:dyDescent="0.25">
      <c r="A46" s="13" t="s">
        <v>46</v>
      </c>
      <c r="B46" s="14">
        <f>(SUM([1]Форма№1!C58:C59))/5.3</f>
        <v>0</v>
      </c>
      <c r="C46" s="15">
        <f>(SUM([1]Форма№1!D58:D59))/5.3</f>
        <v>0</v>
      </c>
      <c r="D46" s="15">
        <f>(SUM([1]Форма№1!E58:E59))/5.3</f>
        <v>-239.50943396226418</v>
      </c>
      <c r="E46" s="15">
        <f>(SUM([1]Форма№1!F58:F59))/5.3</f>
        <v>-98.113207547169822</v>
      </c>
      <c r="F46" s="15">
        <f>(SUM([1]Форма№1!G58:G59))/5.3</f>
        <v>0</v>
      </c>
    </row>
    <row r="47" spans="1:6" x14ac:dyDescent="0.25">
      <c r="A47" s="26" t="s">
        <v>47</v>
      </c>
      <c r="B47" s="17">
        <f>SUM(B42:B46)</f>
        <v>2413.3962264150946</v>
      </c>
      <c r="C47" s="18">
        <f>SUM(C42:C46)</f>
        <v>2413.3962264150946</v>
      </c>
      <c r="D47" s="18">
        <f>SUM(D42:D46)</f>
        <v>1797.6603773584902</v>
      </c>
      <c r="E47" s="18">
        <f>SUM(E42:E46)</f>
        <v>2102.433962264151</v>
      </c>
      <c r="F47" s="18">
        <f>SUM(F42:F46)</f>
        <v>1888.7924528301889</v>
      </c>
    </row>
    <row r="48" spans="1:6" x14ac:dyDescent="0.25">
      <c r="A48" s="26" t="s">
        <v>48</v>
      </c>
      <c r="B48" s="17">
        <f>SUM(B40,B47)</f>
        <v>3525.2641509433965</v>
      </c>
      <c r="C48" s="18">
        <f>SUM(C40,C47)</f>
        <v>3525.2641509433965</v>
      </c>
      <c r="D48" s="18">
        <f>SUM(D40,D47)</f>
        <v>3770.8301886792451</v>
      </c>
      <c r="E48" s="18">
        <f>SUM(E40,E47)</f>
        <v>5500.9433962264147</v>
      </c>
      <c r="F48" s="18">
        <f>SUM(F40,F47)</f>
        <v>5836.7735849056608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M7" sqref="M7"/>
    </sheetView>
  </sheetViews>
  <sheetFormatPr defaultRowHeight="15" x14ac:dyDescent="0.25"/>
  <cols>
    <col min="1" max="1" width="50.140625" customWidth="1"/>
    <col min="2" max="6" width="0" hidden="1" customWidth="1"/>
  </cols>
  <sheetData>
    <row r="1" spans="1:10" ht="15.75" x14ac:dyDescent="0.25">
      <c r="A1" s="36" t="s">
        <v>49</v>
      </c>
      <c r="B1" s="37">
        <v>2011</v>
      </c>
      <c r="C1" s="37">
        <v>2012</v>
      </c>
      <c r="D1" s="37">
        <v>2013</v>
      </c>
      <c r="E1" s="38"/>
      <c r="F1" s="39">
        <v>2014</v>
      </c>
      <c r="G1" s="37">
        <v>2011</v>
      </c>
      <c r="H1" s="37">
        <v>2012</v>
      </c>
      <c r="I1" s="37">
        <v>2013</v>
      </c>
      <c r="J1" s="37">
        <v>2014</v>
      </c>
    </row>
    <row r="2" spans="1:10" x14ac:dyDescent="0.25">
      <c r="A2" s="40"/>
      <c r="B2" s="41" t="str">
        <f>[1]Balance!B1</f>
        <v>Th. UAH</v>
      </c>
      <c r="C2" s="41" t="str">
        <f>[1]Balance!C1</f>
        <v>Th. UAH</v>
      </c>
      <c r="D2" s="41" t="str">
        <f>C2</f>
        <v>Th. UAH</v>
      </c>
      <c r="E2" s="1"/>
      <c r="F2" s="42" t="str">
        <f>D2</f>
        <v>Th. UAH</v>
      </c>
      <c r="G2" s="41" t="s">
        <v>50</v>
      </c>
      <c r="H2" s="41" t="s">
        <v>50</v>
      </c>
      <c r="I2" s="41" t="str">
        <f>H2</f>
        <v>Th$</v>
      </c>
      <c r="J2" s="43" t="str">
        <f>I2</f>
        <v>Th$</v>
      </c>
    </row>
    <row r="3" spans="1:10" x14ac:dyDescent="0.25">
      <c r="A3" s="44" t="s">
        <v>51</v>
      </c>
      <c r="B3" s="45">
        <f>([1]Форма№2!C8-[1]Форма№2!C9-[1]Форма№2!C10-[1]Форма№2!C11-[1]Форма№2!C12+[1]Форма№2!C18)/5.3</f>
        <v>4363.5660377358499</v>
      </c>
      <c r="C3" s="45">
        <f>([1]Форма№2!D8-[1]Форма№2!D9-[1]Форма№2!D10-[1]Форма№2!D11-[1]Форма№2!D12+[1]Форма№2!D18)/5.3</f>
        <v>7183.5660377358499</v>
      </c>
      <c r="D3" s="45">
        <f>([1]Форма№2!E8-[1]Форма№2!E9-[1]Форма№2!E10-[1]Форма№2!E11-[1]Форма№2!E12+[1]Форма№2!E18)/5.3</f>
        <v>11332.566037735849</v>
      </c>
      <c r="E3" s="45">
        <f>([1]Форма№2!F8-[1]Форма№2!F9-[1]Форма№2!F10-[1]Форма№2!F11-[1]Форма№2!F12+[1]Форма№2!F18)/5.3</f>
        <v>3566.584905660377</v>
      </c>
      <c r="F3" s="45">
        <f>([1]Форма№2!F8-[1]Форма№2!F9-[1]Форма№2!F10-[1]Форма№2!F11-[1]Форма№2!F12+[1]Форма№2!F18)/5.3</f>
        <v>3566.584905660377</v>
      </c>
      <c r="G3" s="46">
        <f>B3/5.3</f>
        <v>823.31434674261322</v>
      </c>
      <c r="H3" s="46">
        <f>C3/5.3</f>
        <v>1355.3898184407265</v>
      </c>
      <c r="I3" s="46">
        <f>D3/5.3</f>
        <v>2138.2200071199718</v>
      </c>
      <c r="J3" s="47">
        <f>F3/5.3</f>
        <v>672.94054823780698</v>
      </c>
    </row>
    <row r="4" spans="1:10" x14ac:dyDescent="0.25">
      <c r="A4" s="44" t="s">
        <v>52</v>
      </c>
      <c r="B4" s="45">
        <f>([1]Форма№2!C14)/5.3</f>
        <v>3518.6226415094343</v>
      </c>
      <c r="C4" s="45">
        <f>([1]Форма№2!D14)/5.3</f>
        <v>6386.5471698113206</v>
      </c>
      <c r="D4" s="45">
        <f>([1]Форма№2!E14)/5.3</f>
        <v>9788.094339622643</v>
      </c>
      <c r="E4" s="45">
        <f>([1]Форма№2!F14)/5.3</f>
        <v>3078</v>
      </c>
      <c r="F4" s="45">
        <f>([1]Форма№2!F14)/5.3</f>
        <v>3078</v>
      </c>
      <c r="G4" s="46">
        <f>B4/5.3</f>
        <v>663.89106443574235</v>
      </c>
      <c r="H4" s="46">
        <f>C4/5.3</f>
        <v>1205.0088999644001</v>
      </c>
      <c r="I4" s="46">
        <f>D4/5.3</f>
        <v>1846.8102527589892</v>
      </c>
      <c r="J4" s="47">
        <f>F4/5.3</f>
        <v>580.75471698113211</v>
      </c>
    </row>
    <row r="5" spans="1:10" x14ac:dyDescent="0.25">
      <c r="A5" s="48" t="s">
        <v>53</v>
      </c>
      <c r="B5" s="49">
        <f>B3-B4</f>
        <v>844.94339622641564</v>
      </c>
      <c r="C5" s="49">
        <f>C3-C4</f>
        <v>797.01886792452933</v>
      </c>
      <c r="D5" s="49">
        <f>D3-D4</f>
        <v>1544.471698113206</v>
      </c>
      <c r="E5" s="49">
        <f>E3-E4</f>
        <v>488.58490566037699</v>
      </c>
      <c r="F5" s="49">
        <f>F3-F4</f>
        <v>488.58490566037699</v>
      </c>
      <c r="G5" s="46">
        <f>B5/5.3</f>
        <v>159.42328230687087</v>
      </c>
      <c r="H5" s="46">
        <f>C5/5.3</f>
        <v>150.38091847632629</v>
      </c>
      <c r="I5" s="46">
        <f>D5/5.3</f>
        <v>291.40975436098228</v>
      </c>
      <c r="J5" s="47">
        <f>F5/5.3</f>
        <v>92.185831256674902</v>
      </c>
    </row>
    <row r="6" spans="1:10" x14ac:dyDescent="0.25">
      <c r="A6" s="50" t="s">
        <v>54</v>
      </c>
      <c r="B6" s="45">
        <f>([1]Форма№2!C19+[1]Форма№2!C20+[1]Форма№2!C21)/5.3</f>
        <v>893.28301886792451</v>
      </c>
      <c r="C6" s="45">
        <f>([1]Форма№2!D19+[1]Форма№2!D20+[1]Форма№2!D21)/5.3</f>
        <v>1084.924528301887</v>
      </c>
      <c r="D6" s="45">
        <f>([1]Форма№2!E19+[1]Форма№2!E20+[1]Форма№2!E21)/5.3</f>
        <v>1254.8301886792453</v>
      </c>
      <c r="E6" s="45">
        <f>([1]Форма№2!F19+[1]Форма№2!F20+[1]Форма№2!F21)/5.3</f>
        <v>301.64150943396226</v>
      </c>
      <c r="F6" s="45">
        <f>([1]Форма№2!F19+[1]Форма№2!F20+[1]Форма№2!F21)/5.3</f>
        <v>301.64150943396226</v>
      </c>
      <c r="G6" s="46">
        <f>B6/5.3</f>
        <v>168.54396582413671</v>
      </c>
      <c r="H6" s="46">
        <f>C6/5.3</f>
        <v>204.70274118903529</v>
      </c>
      <c r="I6" s="46">
        <f>D6/5.3</f>
        <v>236.76041295834818</v>
      </c>
      <c r="J6" s="47">
        <f>F6/5.3</f>
        <v>56.913492346030615</v>
      </c>
    </row>
    <row r="7" spans="1:10" x14ac:dyDescent="0.25">
      <c r="A7" s="51" t="s">
        <v>55</v>
      </c>
      <c r="B7" s="49">
        <f>B5-B6</f>
        <v>-48.339622641508868</v>
      </c>
      <c r="C7" s="49">
        <f>C5-C6</f>
        <v>-287.90566037735766</v>
      </c>
      <c r="D7" s="49">
        <f>D5-D6</f>
        <v>289.64150943396066</v>
      </c>
      <c r="E7" s="49">
        <f>E5-E6</f>
        <v>186.94339622641473</v>
      </c>
      <c r="F7" s="49">
        <f>F5-F6</f>
        <v>186.94339622641473</v>
      </c>
      <c r="G7" s="46">
        <f>B7/5.3</f>
        <v>-9.1206835172658245</v>
      </c>
      <c r="H7" s="46">
        <f>C7/5.3</f>
        <v>-54.321822712708993</v>
      </c>
      <c r="I7" s="46">
        <f>D7/5.3</f>
        <v>54.649341402634093</v>
      </c>
      <c r="J7" s="47">
        <f>F7/5.3</f>
        <v>35.272338910644294</v>
      </c>
    </row>
    <row r="8" spans="1:10" x14ac:dyDescent="0.25">
      <c r="A8" s="52" t="s">
        <v>56</v>
      </c>
      <c r="B8" s="45">
        <f>([1]Форма№2!C28)/5.3</f>
        <v>165.28301886792454</v>
      </c>
      <c r="C8" s="45">
        <f>([1]Форма№2!D28)/5.3</f>
        <v>150.64150943396226</v>
      </c>
      <c r="D8" s="45">
        <f>([1]Форма№2!E28)/5.3</f>
        <v>259.49056603773585</v>
      </c>
      <c r="E8" s="45">
        <f>([1]Форма№2!F28)/5.3</f>
        <v>114.11320754716981</v>
      </c>
      <c r="F8" s="45">
        <f>([1]Форма№2!F28)/5.3</f>
        <v>114.11320754716981</v>
      </c>
      <c r="G8" s="46">
        <f>B8/5.3</f>
        <v>31.185475258098972</v>
      </c>
      <c r="H8" s="46">
        <f>C8/5.3</f>
        <v>28.422926308294766</v>
      </c>
      <c r="I8" s="46">
        <f>D8/5.3</f>
        <v>48.960484158063366</v>
      </c>
      <c r="J8" s="47">
        <f>F8/5.3</f>
        <v>21.530793876824493</v>
      </c>
    </row>
    <row r="9" spans="1:10" x14ac:dyDescent="0.25">
      <c r="A9" s="50" t="s">
        <v>57</v>
      </c>
      <c r="B9" s="45">
        <f>([1]Форма№2!C25+[1]Форма№2!C26+[1]Форма№2!C27-[1]Форма№2!C29-[1]Форма№2!C30)/5.3</f>
        <v>44.377358490566039</v>
      </c>
      <c r="C9" s="45">
        <f>([1]Форма№2!D25+[1]Форма№2!D26+[1]Форма№2!D27-[1]Форма№2!D29-[1]Форма№2!D30)/5.3</f>
        <v>39.509433962264154</v>
      </c>
      <c r="D9" s="45">
        <f>([1]Форма№2!E25+[1]Форма№2!E26+[1]Форма№2!E27-[1]Форма№2!E29-[1]Форма№2!E30)/5.3</f>
        <v>-1.2264150943396226</v>
      </c>
      <c r="E9" s="1"/>
      <c r="F9" s="45">
        <f>([1]Форма№2!F25+[1]Форма№2!F26+[1]Форма№2!F27-[1]Форма№2!F29-[1]Форма№2!F30)/5.3</f>
        <v>16.452830188679247</v>
      </c>
      <c r="G9" s="46">
        <f>B9/5.3</f>
        <v>8.3730865076539693</v>
      </c>
      <c r="H9" s="46">
        <f>C9/5.3</f>
        <v>7.4546101815592749</v>
      </c>
      <c r="I9" s="46">
        <f>D9/5.3</f>
        <v>-0.23139907440370239</v>
      </c>
      <c r="J9" s="47">
        <f>F9/5.3</f>
        <v>3.1043075827696693</v>
      </c>
    </row>
    <row r="10" spans="1:10" x14ac:dyDescent="0.25">
      <c r="A10" s="51" t="s">
        <v>58</v>
      </c>
      <c r="B10" s="49">
        <f>B7-B8+B9</f>
        <v>-169.24528301886738</v>
      </c>
      <c r="C10" s="49">
        <f>C7-C8+C9</f>
        <v>-399.03773584905576</v>
      </c>
      <c r="D10" s="49">
        <f>D7-D8+D9</f>
        <v>28.924528301885196</v>
      </c>
      <c r="E10" s="1"/>
      <c r="F10" s="49">
        <f>F7-F8+F9</f>
        <v>89.28301886792417</v>
      </c>
      <c r="G10" s="46">
        <f>B10/5.3</f>
        <v>-31.933072267710827</v>
      </c>
      <c r="H10" s="46">
        <f>C10/5.3</f>
        <v>-75.290138839444481</v>
      </c>
      <c r="I10" s="46">
        <f>D10/5.3</f>
        <v>5.4574581701670182</v>
      </c>
      <c r="J10" s="47">
        <f>F10/5.3</f>
        <v>16.845852616589468</v>
      </c>
    </row>
    <row r="11" spans="1:10" x14ac:dyDescent="0.25">
      <c r="A11" s="50" t="s">
        <v>59</v>
      </c>
      <c r="B11" s="45">
        <f>([1]Форма№2!C34)/5.3</f>
        <v>102.24528301886792</v>
      </c>
      <c r="C11" s="45">
        <f>([1]Форма№2!D34)/5.3</f>
        <v>16.754716981132077</v>
      </c>
      <c r="D11" s="45">
        <f>([1]Форма№2!E34)/5.3</f>
        <v>8.6792452830188687</v>
      </c>
      <c r="E11" s="45">
        <f>([1]Форма№2!F34)/5.3</f>
        <v>3.7924528301886795</v>
      </c>
      <c r="F11" s="45">
        <f>([1]Форма№2!F34)/5.3</f>
        <v>3.7924528301886795</v>
      </c>
      <c r="G11" s="46">
        <f>B11/5.3</f>
        <v>19.291562833748664</v>
      </c>
      <c r="H11" s="46">
        <f>C11/5.3</f>
        <v>3.1612673549305805</v>
      </c>
      <c r="I11" s="46">
        <f>D11/5.3</f>
        <v>1.6375934496262017</v>
      </c>
      <c r="J11" s="47">
        <f>F11/5.3</f>
        <v>0.71555713777144903</v>
      </c>
    </row>
    <row r="12" spans="1:10" x14ac:dyDescent="0.25">
      <c r="A12" s="51" t="s">
        <v>60</v>
      </c>
      <c r="B12" s="49">
        <f>B10-B11</f>
        <v>-271.49056603773533</v>
      </c>
      <c r="C12" s="49">
        <f>C10-C11</f>
        <v>-415.79245283018781</v>
      </c>
      <c r="D12" s="49">
        <f>D10-D11</f>
        <v>20.245283018866328</v>
      </c>
      <c r="E12" s="1"/>
      <c r="F12" s="49">
        <f>F10-F11</f>
        <v>85.490566037735491</v>
      </c>
      <c r="G12" s="46">
        <f>B12/5.3</f>
        <v>-51.224635101459498</v>
      </c>
      <c r="H12" s="46">
        <f>C12/5.3</f>
        <v>-78.451406194375068</v>
      </c>
      <c r="I12" s="46">
        <f>D12/5.3</f>
        <v>3.8198647205408167</v>
      </c>
      <c r="J12" s="47">
        <f>F12/5.3</f>
        <v>16.130295478818017</v>
      </c>
    </row>
    <row r="13" spans="1:10" x14ac:dyDescent="0.25">
      <c r="A13" s="53" t="s">
        <v>61</v>
      </c>
      <c r="B13" s="49"/>
      <c r="C13" s="49"/>
      <c r="D13" s="49"/>
      <c r="E13" s="1"/>
      <c r="F13" s="1"/>
      <c r="G13" s="46">
        <f>B13/5.3</f>
        <v>0</v>
      </c>
      <c r="H13" s="46">
        <f>C13/5.3</f>
        <v>0</v>
      </c>
      <c r="I13" s="46">
        <f>D13/5.3</f>
        <v>0</v>
      </c>
      <c r="J13" s="47">
        <f>F13/5.3</f>
        <v>0</v>
      </c>
    </row>
    <row r="14" spans="1:10" x14ac:dyDescent="0.25">
      <c r="A14" s="50" t="s">
        <v>62</v>
      </c>
      <c r="B14" s="45">
        <f>([1]Balance!B45)/5.3</f>
        <v>-169.26415094339629</v>
      </c>
      <c r="C14" s="45">
        <f>([1]Balance!C45)/5.3</f>
        <v>-169.26415094339629</v>
      </c>
      <c r="D14" s="45">
        <f>([1]Balance!D45)/5.3</f>
        <v>-555.09433962264154</v>
      </c>
      <c r="E14" s="45">
        <f>([1]Balance!E45)/5.3</f>
        <v>20.245283018867788</v>
      </c>
      <c r="F14" s="45">
        <f>([1]Balance!F45)/5.3</f>
        <v>85.490566037735917</v>
      </c>
      <c r="G14" s="46">
        <f>B14/5.3</f>
        <v>-31.936632253471</v>
      </c>
      <c r="H14" s="46">
        <f>C14/5.3</f>
        <v>-31.936632253471</v>
      </c>
      <c r="I14" s="46">
        <f>D14/5.3</f>
        <v>-104.73478106087576</v>
      </c>
      <c r="J14" s="47">
        <f>F14/5.3</f>
        <v>16.130295478818098</v>
      </c>
    </row>
    <row r="15" spans="1:10" x14ac:dyDescent="0.25">
      <c r="A15" s="44" t="s">
        <v>63</v>
      </c>
      <c r="B15" s="45">
        <f>B12</f>
        <v>-271.49056603773533</v>
      </c>
      <c r="C15" s="45">
        <f>C12</f>
        <v>-415.79245283018781</v>
      </c>
      <c r="D15" s="45">
        <f>D12</f>
        <v>20.245283018866328</v>
      </c>
      <c r="E15" s="45">
        <f>E12</f>
        <v>0</v>
      </c>
      <c r="F15" s="45">
        <f>F12</f>
        <v>85.490566037735491</v>
      </c>
      <c r="G15" s="46">
        <f>B15/5.3</f>
        <v>-51.224635101459498</v>
      </c>
      <c r="H15" s="46">
        <f>C15/5.3</f>
        <v>-78.451406194375068</v>
      </c>
      <c r="I15" s="46">
        <f>D15/5.3</f>
        <v>3.8198647205408167</v>
      </c>
      <c r="J15" s="47">
        <f>F15/5.3</f>
        <v>16.130295478818017</v>
      </c>
    </row>
    <row r="16" spans="1:10" x14ac:dyDescent="0.25">
      <c r="A16" s="44" t="s">
        <v>64</v>
      </c>
      <c r="B16" s="45">
        <v>0</v>
      </c>
      <c r="C16" s="45">
        <v>0</v>
      </c>
      <c r="D16" s="45">
        <v>0</v>
      </c>
      <c r="E16" s="1"/>
      <c r="F16" s="45">
        <v>0</v>
      </c>
      <c r="G16" s="46">
        <f>B16/5.3</f>
        <v>0</v>
      </c>
      <c r="H16" s="46">
        <f>C16/5.3</f>
        <v>0</v>
      </c>
      <c r="I16" s="46">
        <f>D16/5.3</f>
        <v>0</v>
      </c>
      <c r="J16" s="47">
        <f>F16/5.3</f>
        <v>0</v>
      </c>
    </row>
    <row r="17" spans="1:10" x14ac:dyDescent="0.25">
      <c r="A17" s="50" t="s">
        <v>65</v>
      </c>
      <c r="B17" s="45">
        <f>-B14-B15-B16+B18</f>
        <v>271.49056603773533</v>
      </c>
      <c r="C17" s="45">
        <f>-C14-C15-C16+C18</f>
        <v>29.962264150942588</v>
      </c>
      <c r="D17" s="45">
        <f>-D14-D15-D16+D18</f>
        <v>555.09433962264302</v>
      </c>
      <c r="E17" s="1"/>
      <c r="F17" s="45">
        <f>-F14-F15-F16+F18</f>
        <v>-170.98113207547141</v>
      </c>
      <c r="G17" s="46">
        <f>B17/5.3</f>
        <v>51.224635101459498</v>
      </c>
      <c r="H17" s="46">
        <f>C17/5.3</f>
        <v>5.6532573869702993</v>
      </c>
      <c r="I17" s="46">
        <f>D17/5.3</f>
        <v>104.73478106087605</v>
      </c>
      <c r="J17" s="47">
        <f>F17/5.3</f>
        <v>-32.260590957636119</v>
      </c>
    </row>
    <row r="18" spans="1:10" ht="15.75" thickBot="1" x14ac:dyDescent="0.3">
      <c r="A18" s="54" t="s">
        <v>66</v>
      </c>
      <c r="B18" s="55">
        <f>([1]Balance!C45)/5.3</f>
        <v>-169.26415094339629</v>
      </c>
      <c r="C18" s="55">
        <f>([1]Balance!D45)/5.3</f>
        <v>-555.09433962264154</v>
      </c>
      <c r="D18" s="55">
        <f>([1]Balance!E45)/5.3</f>
        <v>20.245283018867788</v>
      </c>
      <c r="E18" s="55">
        <f>([1]Balance!F45)/5.3</f>
        <v>85.490566037735917</v>
      </c>
      <c r="F18" s="55">
        <f>([1]Balance!G45)/5.3</f>
        <v>0</v>
      </c>
      <c r="G18" s="56">
        <f>B18/5.3</f>
        <v>-31.936632253471</v>
      </c>
      <c r="H18" s="56">
        <f>C18/5.3</f>
        <v>-104.73478106087576</v>
      </c>
      <c r="I18" s="56">
        <f>D18/5.3</f>
        <v>3.8198647205410921</v>
      </c>
      <c r="J18" s="57">
        <f>F18/5.3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48" sqref="A48"/>
    </sheetView>
  </sheetViews>
  <sheetFormatPr defaultColWidth="9.28515625" defaultRowHeight="12.75" x14ac:dyDescent="0.2"/>
  <cols>
    <col min="1" max="1" width="67.7109375" style="60" customWidth="1"/>
    <col min="2" max="3" width="16" style="60" customWidth="1"/>
    <col min="4" max="4" width="13.42578125" style="60" customWidth="1"/>
    <col min="5" max="256" width="9.28515625" style="60"/>
    <col min="257" max="257" width="67.7109375" style="60" customWidth="1"/>
    <col min="258" max="259" width="16" style="60" customWidth="1"/>
    <col min="260" max="260" width="13.42578125" style="60" customWidth="1"/>
    <col min="261" max="512" width="9.28515625" style="60"/>
    <col min="513" max="513" width="67.7109375" style="60" customWidth="1"/>
    <col min="514" max="515" width="16" style="60" customWidth="1"/>
    <col min="516" max="516" width="13.42578125" style="60" customWidth="1"/>
    <col min="517" max="768" width="9.28515625" style="60"/>
    <col min="769" max="769" width="67.7109375" style="60" customWidth="1"/>
    <col min="770" max="771" width="16" style="60" customWidth="1"/>
    <col min="772" max="772" width="13.42578125" style="60" customWidth="1"/>
    <col min="773" max="1024" width="9.28515625" style="60"/>
    <col min="1025" max="1025" width="67.7109375" style="60" customWidth="1"/>
    <col min="1026" max="1027" width="16" style="60" customWidth="1"/>
    <col min="1028" max="1028" width="13.42578125" style="60" customWidth="1"/>
    <col min="1029" max="1280" width="9.28515625" style="60"/>
    <col min="1281" max="1281" width="67.7109375" style="60" customWidth="1"/>
    <col min="1282" max="1283" width="16" style="60" customWidth="1"/>
    <col min="1284" max="1284" width="13.42578125" style="60" customWidth="1"/>
    <col min="1285" max="1536" width="9.28515625" style="60"/>
    <col min="1537" max="1537" width="67.7109375" style="60" customWidth="1"/>
    <col min="1538" max="1539" width="16" style="60" customWidth="1"/>
    <col min="1540" max="1540" width="13.42578125" style="60" customWidth="1"/>
    <col min="1541" max="1792" width="9.28515625" style="60"/>
    <col min="1793" max="1793" width="67.7109375" style="60" customWidth="1"/>
    <col min="1794" max="1795" width="16" style="60" customWidth="1"/>
    <col min="1796" max="1796" width="13.42578125" style="60" customWidth="1"/>
    <col min="1797" max="2048" width="9.28515625" style="60"/>
    <col min="2049" max="2049" width="67.7109375" style="60" customWidth="1"/>
    <col min="2050" max="2051" width="16" style="60" customWidth="1"/>
    <col min="2052" max="2052" width="13.42578125" style="60" customWidth="1"/>
    <col min="2053" max="2304" width="9.28515625" style="60"/>
    <col min="2305" max="2305" width="67.7109375" style="60" customWidth="1"/>
    <col min="2306" max="2307" width="16" style="60" customWidth="1"/>
    <col min="2308" max="2308" width="13.42578125" style="60" customWidth="1"/>
    <col min="2309" max="2560" width="9.28515625" style="60"/>
    <col min="2561" max="2561" width="67.7109375" style="60" customWidth="1"/>
    <col min="2562" max="2563" width="16" style="60" customWidth="1"/>
    <col min="2564" max="2564" width="13.42578125" style="60" customWidth="1"/>
    <col min="2565" max="2816" width="9.28515625" style="60"/>
    <col min="2817" max="2817" width="67.7109375" style="60" customWidth="1"/>
    <col min="2818" max="2819" width="16" style="60" customWidth="1"/>
    <col min="2820" max="2820" width="13.42578125" style="60" customWidth="1"/>
    <col min="2821" max="3072" width="9.28515625" style="60"/>
    <col min="3073" max="3073" width="67.7109375" style="60" customWidth="1"/>
    <col min="3074" max="3075" width="16" style="60" customWidth="1"/>
    <col min="3076" max="3076" width="13.42578125" style="60" customWidth="1"/>
    <col min="3077" max="3328" width="9.28515625" style="60"/>
    <col min="3329" max="3329" width="67.7109375" style="60" customWidth="1"/>
    <col min="3330" max="3331" width="16" style="60" customWidth="1"/>
    <col min="3332" max="3332" width="13.42578125" style="60" customWidth="1"/>
    <col min="3333" max="3584" width="9.28515625" style="60"/>
    <col min="3585" max="3585" width="67.7109375" style="60" customWidth="1"/>
    <col min="3586" max="3587" width="16" style="60" customWidth="1"/>
    <col min="3588" max="3588" width="13.42578125" style="60" customWidth="1"/>
    <col min="3589" max="3840" width="9.28515625" style="60"/>
    <col min="3841" max="3841" width="67.7109375" style="60" customWidth="1"/>
    <col min="3842" max="3843" width="16" style="60" customWidth="1"/>
    <col min="3844" max="3844" width="13.42578125" style="60" customWidth="1"/>
    <col min="3845" max="4096" width="9.28515625" style="60"/>
    <col min="4097" max="4097" width="67.7109375" style="60" customWidth="1"/>
    <col min="4098" max="4099" width="16" style="60" customWidth="1"/>
    <col min="4100" max="4100" width="13.42578125" style="60" customWidth="1"/>
    <col min="4101" max="4352" width="9.28515625" style="60"/>
    <col min="4353" max="4353" width="67.7109375" style="60" customWidth="1"/>
    <col min="4354" max="4355" width="16" style="60" customWidth="1"/>
    <col min="4356" max="4356" width="13.42578125" style="60" customWidth="1"/>
    <col min="4357" max="4608" width="9.28515625" style="60"/>
    <col min="4609" max="4609" width="67.7109375" style="60" customWidth="1"/>
    <col min="4610" max="4611" width="16" style="60" customWidth="1"/>
    <col min="4612" max="4612" width="13.42578125" style="60" customWidth="1"/>
    <col min="4613" max="4864" width="9.28515625" style="60"/>
    <col min="4865" max="4865" width="67.7109375" style="60" customWidth="1"/>
    <col min="4866" max="4867" width="16" style="60" customWidth="1"/>
    <col min="4868" max="4868" width="13.42578125" style="60" customWidth="1"/>
    <col min="4869" max="5120" width="9.28515625" style="60"/>
    <col min="5121" max="5121" width="67.7109375" style="60" customWidth="1"/>
    <col min="5122" max="5123" width="16" style="60" customWidth="1"/>
    <col min="5124" max="5124" width="13.42578125" style="60" customWidth="1"/>
    <col min="5125" max="5376" width="9.28515625" style="60"/>
    <col min="5377" max="5377" width="67.7109375" style="60" customWidth="1"/>
    <col min="5378" max="5379" width="16" style="60" customWidth="1"/>
    <col min="5380" max="5380" width="13.42578125" style="60" customWidth="1"/>
    <col min="5381" max="5632" width="9.28515625" style="60"/>
    <col min="5633" max="5633" width="67.7109375" style="60" customWidth="1"/>
    <col min="5634" max="5635" width="16" style="60" customWidth="1"/>
    <col min="5636" max="5636" width="13.42578125" style="60" customWidth="1"/>
    <col min="5637" max="5888" width="9.28515625" style="60"/>
    <col min="5889" max="5889" width="67.7109375" style="60" customWidth="1"/>
    <col min="5890" max="5891" width="16" style="60" customWidth="1"/>
    <col min="5892" max="5892" width="13.42578125" style="60" customWidth="1"/>
    <col min="5893" max="6144" width="9.28515625" style="60"/>
    <col min="6145" max="6145" width="67.7109375" style="60" customWidth="1"/>
    <col min="6146" max="6147" width="16" style="60" customWidth="1"/>
    <col min="6148" max="6148" width="13.42578125" style="60" customWidth="1"/>
    <col min="6149" max="6400" width="9.28515625" style="60"/>
    <col min="6401" max="6401" width="67.7109375" style="60" customWidth="1"/>
    <col min="6402" max="6403" width="16" style="60" customWidth="1"/>
    <col min="6404" max="6404" width="13.42578125" style="60" customWidth="1"/>
    <col min="6405" max="6656" width="9.28515625" style="60"/>
    <col min="6657" max="6657" width="67.7109375" style="60" customWidth="1"/>
    <col min="6658" max="6659" width="16" style="60" customWidth="1"/>
    <col min="6660" max="6660" width="13.42578125" style="60" customWidth="1"/>
    <col min="6661" max="6912" width="9.28515625" style="60"/>
    <col min="6913" max="6913" width="67.7109375" style="60" customWidth="1"/>
    <col min="6914" max="6915" width="16" style="60" customWidth="1"/>
    <col min="6916" max="6916" width="13.42578125" style="60" customWidth="1"/>
    <col min="6917" max="7168" width="9.28515625" style="60"/>
    <col min="7169" max="7169" width="67.7109375" style="60" customWidth="1"/>
    <col min="7170" max="7171" width="16" style="60" customWidth="1"/>
    <col min="7172" max="7172" width="13.42578125" style="60" customWidth="1"/>
    <col min="7173" max="7424" width="9.28515625" style="60"/>
    <col min="7425" max="7425" width="67.7109375" style="60" customWidth="1"/>
    <col min="7426" max="7427" width="16" style="60" customWidth="1"/>
    <col min="7428" max="7428" width="13.42578125" style="60" customWidth="1"/>
    <col min="7429" max="7680" width="9.28515625" style="60"/>
    <col min="7681" max="7681" width="67.7109375" style="60" customWidth="1"/>
    <col min="7682" max="7683" width="16" style="60" customWidth="1"/>
    <col min="7684" max="7684" width="13.42578125" style="60" customWidth="1"/>
    <col min="7685" max="7936" width="9.28515625" style="60"/>
    <col min="7937" max="7937" width="67.7109375" style="60" customWidth="1"/>
    <col min="7938" max="7939" width="16" style="60" customWidth="1"/>
    <col min="7940" max="7940" width="13.42578125" style="60" customWidth="1"/>
    <col min="7941" max="8192" width="9.28515625" style="60"/>
    <col min="8193" max="8193" width="67.7109375" style="60" customWidth="1"/>
    <col min="8194" max="8195" width="16" style="60" customWidth="1"/>
    <col min="8196" max="8196" width="13.42578125" style="60" customWidth="1"/>
    <col min="8197" max="8448" width="9.28515625" style="60"/>
    <col min="8449" max="8449" width="67.7109375" style="60" customWidth="1"/>
    <col min="8450" max="8451" width="16" style="60" customWidth="1"/>
    <col min="8452" max="8452" width="13.42578125" style="60" customWidth="1"/>
    <col min="8453" max="8704" width="9.28515625" style="60"/>
    <col min="8705" max="8705" width="67.7109375" style="60" customWidth="1"/>
    <col min="8706" max="8707" width="16" style="60" customWidth="1"/>
    <col min="8708" max="8708" width="13.42578125" style="60" customWidth="1"/>
    <col min="8709" max="8960" width="9.28515625" style="60"/>
    <col min="8961" max="8961" width="67.7109375" style="60" customWidth="1"/>
    <col min="8962" max="8963" width="16" style="60" customWidth="1"/>
    <col min="8964" max="8964" width="13.42578125" style="60" customWidth="1"/>
    <col min="8965" max="9216" width="9.28515625" style="60"/>
    <col min="9217" max="9217" width="67.7109375" style="60" customWidth="1"/>
    <col min="9218" max="9219" width="16" style="60" customWidth="1"/>
    <col min="9220" max="9220" width="13.42578125" style="60" customWidth="1"/>
    <col min="9221" max="9472" width="9.28515625" style="60"/>
    <col min="9473" max="9473" width="67.7109375" style="60" customWidth="1"/>
    <col min="9474" max="9475" width="16" style="60" customWidth="1"/>
    <col min="9476" max="9476" width="13.42578125" style="60" customWidth="1"/>
    <col min="9477" max="9728" width="9.28515625" style="60"/>
    <col min="9729" max="9729" width="67.7109375" style="60" customWidth="1"/>
    <col min="9730" max="9731" width="16" style="60" customWidth="1"/>
    <col min="9732" max="9732" width="13.42578125" style="60" customWidth="1"/>
    <col min="9733" max="9984" width="9.28515625" style="60"/>
    <col min="9985" max="9985" width="67.7109375" style="60" customWidth="1"/>
    <col min="9986" max="9987" width="16" style="60" customWidth="1"/>
    <col min="9988" max="9988" width="13.42578125" style="60" customWidth="1"/>
    <col min="9989" max="10240" width="9.28515625" style="60"/>
    <col min="10241" max="10241" width="67.7109375" style="60" customWidth="1"/>
    <col min="10242" max="10243" width="16" style="60" customWidth="1"/>
    <col min="10244" max="10244" width="13.42578125" style="60" customWidth="1"/>
    <col min="10245" max="10496" width="9.28515625" style="60"/>
    <col min="10497" max="10497" width="67.7109375" style="60" customWidth="1"/>
    <col min="10498" max="10499" width="16" style="60" customWidth="1"/>
    <col min="10500" max="10500" width="13.42578125" style="60" customWidth="1"/>
    <col min="10501" max="10752" width="9.28515625" style="60"/>
    <col min="10753" max="10753" width="67.7109375" style="60" customWidth="1"/>
    <col min="10754" max="10755" width="16" style="60" customWidth="1"/>
    <col min="10756" max="10756" width="13.42578125" style="60" customWidth="1"/>
    <col min="10757" max="11008" width="9.28515625" style="60"/>
    <col min="11009" max="11009" width="67.7109375" style="60" customWidth="1"/>
    <col min="11010" max="11011" width="16" style="60" customWidth="1"/>
    <col min="11012" max="11012" width="13.42578125" style="60" customWidth="1"/>
    <col min="11013" max="11264" width="9.28515625" style="60"/>
    <col min="11265" max="11265" width="67.7109375" style="60" customWidth="1"/>
    <col min="11266" max="11267" width="16" style="60" customWidth="1"/>
    <col min="11268" max="11268" width="13.42578125" style="60" customWidth="1"/>
    <col min="11269" max="11520" width="9.28515625" style="60"/>
    <col min="11521" max="11521" width="67.7109375" style="60" customWidth="1"/>
    <col min="11522" max="11523" width="16" style="60" customWidth="1"/>
    <col min="11524" max="11524" width="13.42578125" style="60" customWidth="1"/>
    <col min="11525" max="11776" width="9.28515625" style="60"/>
    <col min="11777" max="11777" width="67.7109375" style="60" customWidth="1"/>
    <col min="11778" max="11779" width="16" style="60" customWidth="1"/>
    <col min="11780" max="11780" width="13.42578125" style="60" customWidth="1"/>
    <col min="11781" max="12032" width="9.28515625" style="60"/>
    <col min="12033" max="12033" width="67.7109375" style="60" customWidth="1"/>
    <col min="12034" max="12035" width="16" style="60" customWidth="1"/>
    <col min="12036" max="12036" width="13.42578125" style="60" customWidth="1"/>
    <col min="12037" max="12288" width="9.28515625" style="60"/>
    <col min="12289" max="12289" width="67.7109375" style="60" customWidth="1"/>
    <col min="12290" max="12291" width="16" style="60" customWidth="1"/>
    <col min="12292" max="12292" width="13.42578125" style="60" customWidth="1"/>
    <col min="12293" max="12544" width="9.28515625" style="60"/>
    <col min="12545" max="12545" width="67.7109375" style="60" customWidth="1"/>
    <col min="12546" max="12547" width="16" style="60" customWidth="1"/>
    <col min="12548" max="12548" width="13.42578125" style="60" customWidth="1"/>
    <col min="12549" max="12800" width="9.28515625" style="60"/>
    <col min="12801" max="12801" width="67.7109375" style="60" customWidth="1"/>
    <col min="12802" max="12803" width="16" style="60" customWidth="1"/>
    <col min="12804" max="12804" width="13.42578125" style="60" customWidth="1"/>
    <col min="12805" max="13056" width="9.28515625" style="60"/>
    <col min="13057" max="13057" width="67.7109375" style="60" customWidth="1"/>
    <col min="13058" max="13059" width="16" style="60" customWidth="1"/>
    <col min="13060" max="13060" width="13.42578125" style="60" customWidth="1"/>
    <col min="13061" max="13312" width="9.28515625" style="60"/>
    <col min="13313" max="13313" width="67.7109375" style="60" customWidth="1"/>
    <col min="13314" max="13315" width="16" style="60" customWidth="1"/>
    <col min="13316" max="13316" width="13.42578125" style="60" customWidth="1"/>
    <col min="13317" max="13568" width="9.28515625" style="60"/>
    <col min="13569" max="13569" width="67.7109375" style="60" customWidth="1"/>
    <col min="13570" max="13571" width="16" style="60" customWidth="1"/>
    <col min="13572" max="13572" width="13.42578125" style="60" customWidth="1"/>
    <col min="13573" max="13824" width="9.28515625" style="60"/>
    <col min="13825" max="13825" width="67.7109375" style="60" customWidth="1"/>
    <col min="13826" max="13827" width="16" style="60" customWidth="1"/>
    <col min="13828" max="13828" width="13.42578125" style="60" customWidth="1"/>
    <col min="13829" max="14080" width="9.28515625" style="60"/>
    <col min="14081" max="14081" width="67.7109375" style="60" customWidth="1"/>
    <col min="14082" max="14083" width="16" style="60" customWidth="1"/>
    <col min="14084" max="14084" width="13.42578125" style="60" customWidth="1"/>
    <col min="14085" max="14336" width="9.28515625" style="60"/>
    <col min="14337" max="14337" width="67.7109375" style="60" customWidth="1"/>
    <col min="14338" max="14339" width="16" style="60" customWidth="1"/>
    <col min="14340" max="14340" width="13.42578125" style="60" customWidth="1"/>
    <col min="14341" max="14592" width="9.28515625" style="60"/>
    <col min="14593" max="14593" width="67.7109375" style="60" customWidth="1"/>
    <col min="14594" max="14595" width="16" style="60" customWidth="1"/>
    <col min="14596" max="14596" width="13.42578125" style="60" customWidth="1"/>
    <col min="14597" max="14848" width="9.28515625" style="60"/>
    <col min="14849" max="14849" width="67.7109375" style="60" customWidth="1"/>
    <col min="14850" max="14851" width="16" style="60" customWidth="1"/>
    <col min="14852" max="14852" width="13.42578125" style="60" customWidth="1"/>
    <col min="14853" max="15104" width="9.28515625" style="60"/>
    <col min="15105" max="15105" width="67.7109375" style="60" customWidth="1"/>
    <col min="15106" max="15107" width="16" style="60" customWidth="1"/>
    <col min="15108" max="15108" width="13.42578125" style="60" customWidth="1"/>
    <col min="15109" max="15360" width="9.28515625" style="60"/>
    <col min="15361" max="15361" width="67.7109375" style="60" customWidth="1"/>
    <col min="15362" max="15363" width="16" style="60" customWidth="1"/>
    <col min="15364" max="15364" width="13.42578125" style="60" customWidth="1"/>
    <col min="15365" max="15616" width="9.28515625" style="60"/>
    <col min="15617" max="15617" width="67.7109375" style="60" customWidth="1"/>
    <col min="15618" max="15619" width="16" style="60" customWidth="1"/>
    <col min="15620" max="15620" width="13.42578125" style="60" customWidth="1"/>
    <col min="15621" max="15872" width="9.28515625" style="60"/>
    <col min="15873" max="15873" width="67.7109375" style="60" customWidth="1"/>
    <col min="15874" max="15875" width="16" style="60" customWidth="1"/>
    <col min="15876" max="15876" width="13.42578125" style="60" customWidth="1"/>
    <col min="15877" max="16128" width="9.28515625" style="60"/>
    <col min="16129" max="16129" width="67.7109375" style="60" customWidth="1"/>
    <col min="16130" max="16131" width="16" style="60" customWidth="1"/>
    <col min="16132" max="16132" width="13.42578125" style="60" customWidth="1"/>
    <col min="16133" max="16384" width="9.28515625" style="60"/>
  </cols>
  <sheetData>
    <row r="1" spans="1:4" ht="16.5" thickBot="1" x14ac:dyDescent="0.3">
      <c r="A1" s="58" t="s">
        <v>67</v>
      </c>
      <c r="B1" s="59"/>
      <c r="C1" s="59"/>
    </row>
    <row r="2" spans="1:4" ht="15.75" x14ac:dyDescent="0.25">
      <c r="A2" s="61"/>
      <c r="B2" s="62">
        <v>2012</v>
      </c>
      <c r="C2" s="63">
        <v>2013</v>
      </c>
      <c r="D2" s="64">
        <v>2014</v>
      </c>
    </row>
    <row r="3" spans="1:4" ht="15.75" x14ac:dyDescent="0.25">
      <c r="A3" s="65" t="s">
        <v>68</v>
      </c>
      <c r="B3" s="66" t="str">
        <f>'[1]Inc.State$'!B2</f>
        <v>Th. UAH</v>
      </c>
      <c r="C3" s="66" t="str">
        <f>'[1]Inc.State$'!C2</f>
        <v>Th. UAH</v>
      </c>
      <c r="D3" s="66" t="str">
        <f>'[1]Inc.State$'!D2</f>
        <v>Th. UAH</v>
      </c>
    </row>
    <row r="4" spans="1:4" x14ac:dyDescent="0.2">
      <c r="A4" s="67" t="s">
        <v>69</v>
      </c>
      <c r="B4" s="68">
        <v>0</v>
      </c>
      <c r="C4" s="68">
        <v>0</v>
      </c>
      <c r="D4" s="1">
        <v>0</v>
      </c>
    </row>
    <row r="5" spans="1:4" x14ac:dyDescent="0.2">
      <c r="A5" s="69" t="s">
        <v>70</v>
      </c>
      <c r="B5" s="68">
        <v>0</v>
      </c>
      <c r="C5" s="68">
        <v>0</v>
      </c>
      <c r="D5" s="1">
        <v>0</v>
      </c>
    </row>
    <row r="6" spans="1:4" x14ac:dyDescent="0.2">
      <c r="A6" s="67" t="s">
        <v>71</v>
      </c>
      <c r="B6" s="70">
        <f>-SUM(B4:B5)</f>
        <v>0</v>
      </c>
      <c r="C6" s="70">
        <f>-SUM(C4:C5)</f>
        <v>0</v>
      </c>
      <c r="D6" s="1">
        <v>0</v>
      </c>
    </row>
    <row r="7" spans="1:4" x14ac:dyDescent="0.2">
      <c r="A7" s="67"/>
      <c r="B7" s="71"/>
      <c r="C7" s="71"/>
      <c r="D7" s="1"/>
    </row>
    <row r="8" spans="1:4" ht="15.75" x14ac:dyDescent="0.25">
      <c r="A8" s="72" t="s">
        <v>72</v>
      </c>
      <c r="B8" s="73"/>
      <c r="C8" s="73"/>
      <c r="D8" s="1"/>
    </row>
    <row r="9" spans="1:4" x14ac:dyDescent="0.2">
      <c r="A9" s="74" t="s">
        <v>73</v>
      </c>
      <c r="B9" s="75">
        <f>'[1]Inc.State$'!B12</f>
        <v>-1438.8999999999987</v>
      </c>
      <c r="C9" s="75">
        <f>'[1]Inc.State$'!C12</f>
        <v>-2203.6999999999962</v>
      </c>
      <c r="D9" s="75">
        <f>'[1]Inc.State$'!D12</f>
        <v>107.29999999999677</v>
      </c>
    </row>
    <row r="10" spans="1:4" x14ac:dyDescent="0.2">
      <c r="A10" s="74" t="s">
        <v>74</v>
      </c>
      <c r="B10" s="75">
        <f>[1]Balance!C13-[1]Balance!B13</f>
        <v>0</v>
      </c>
      <c r="C10" s="75">
        <f>[1]Balance!D13-[1]Balance!C13</f>
        <v>481.30000000000007</v>
      </c>
      <c r="D10" s="75">
        <f>[1]Balance!E13-[1]Balance!D13</f>
        <v>648.69999999999993</v>
      </c>
    </row>
    <row r="11" spans="1:4" x14ac:dyDescent="0.2">
      <c r="A11" s="76" t="s">
        <v>75</v>
      </c>
      <c r="B11" s="77">
        <f>SUM(B9:B10)</f>
        <v>-1438.8999999999987</v>
      </c>
      <c r="C11" s="77">
        <f>SUM(C9:C10)</f>
        <v>-1722.399999999996</v>
      </c>
      <c r="D11" s="1"/>
    </row>
    <row r="12" spans="1:4" x14ac:dyDescent="0.2">
      <c r="A12" s="78" t="s">
        <v>76</v>
      </c>
      <c r="B12" s="75"/>
      <c r="C12" s="75"/>
      <c r="D12" s="1"/>
    </row>
    <row r="13" spans="1:4" x14ac:dyDescent="0.2">
      <c r="A13" s="79" t="s">
        <v>77</v>
      </c>
      <c r="B13" s="80">
        <f>[1]Balance!B5-[1]Balance!C5</f>
        <v>0</v>
      </c>
      <c r="C13" s="80">
        <f>[1]Balance!C5-[1]Balance!D5</f>
        <v>487.49999999999955</v>
      </c>
      <c r="D13" s="80">
        <f>[1]Balance!D5-[1]Balance!E5</f>
        <v>-4037.1000000000004</v>
      </c>
    </row>
    <row r="14" spans="1:4" x14ac:dyDescent="0.2">
      <c r="A14" s="79" t="s">
        <v>78</v>
      </c>
      <c r="B14" s="80">
        <f>[1]Balance!B6-[1]Balance!C6</f>
        <v>0</v>
      </c>
      <c r="C14" s="80">
        <f>[1]Balance!C6-[1]Balance!D6</f>
        <v>-1966.2000000000003</v>
      </c>
      <c r="D14" s="80">
        <f>[1]Balance!D6-[1]Balance!E6</f>
        <v>-2889.8999999999996</v>
      </c>
    </row>
    <row r="15" spans="1:4" x14ac:dyDescent="0.2">
      <c r="A15" s="79" t="s">
        <v>79</v>
      </c>
      <c r="B15" s="80">
        <f>[1]Balance!B7-[1]Balance!C7</f>
        <v>0</v>
      </c>
      <c r="C15" s="80">
        <f>[1]Balance!C7-[1]Balance!D7</f>
        <v>-206.2</v>
      </c>
      <c r="D15" s="80">
        <f>[1]Balance!D7-[1]Balance!E7</f>
        <v>-2993.5</v>
      </c>
    </row>
    <row r="16" spans="1:4" x14ac:dyDescent="0.2">
      <c r="A16" s="78" t="s">
        <v>80</v>
      </c>
      <c r="B16" s="75"/>
      <c r="C16" s="75"/>
      <c r="D16" s="1"/>
    </row>
    <row r="17" spans="1:6" x14ac:dyDescent="0.2">
      <c r="A17" s="79" t="s">
        <v>81</v>
      </c>
      <c r="B17" s="80">
        <f>[1]Balance!C26-[1]Balance!B26</f>
        <v>0</v>
      </c>
      <c r="C17" s="80">
        <f>[1]Balance!D26-[1]Balance!C26</f>
        <v>2626.9000000000024</v>
      </c>
      <c r="D17" s="80">
        <f>[1]Balance!E26-[1]Balance!D26</f>
        <v>-590.80000000000382</v>
      </c>
    </row>
    <row r="18" spans="1:6" x14ac:dyDescent="0.2">
      <c r="A18" s="79" t="s">
        <v>82</v>
      </c>
      <c r="B18" s="80">
        <f>[1]Balance!C28-[1]Balance!B28</f>
        <v>0</v>
      </c>
      <c r="C18" s="80">
        <f>[1]Balance!D28-[1]Balance!C28</f>
        <v>0</v>
      </c>
      <c r="D18" s="80">
        <f>[1]Balance!E28-[1]Balance!D28</f>
        <v>0</v>
      </c>
    </row>
    <row r="19" spans="1:6" x14ac:dyDescent="0.2">
      <c r="A19" s="79" t="s">
        <v>83</v>
      </c>
      <c r="B19" s="80">
        <f>[1]Balance!C29-[1]Balance!B29</f>
        <v>0</v>
      </c>
      <c r="C19" s="80">
        <f>[1]Balance!D29-[1]Balance!C29</f>
        <v>1920.5999999999995</v>
      </c>
      <c r="D19" s="80">
        <f>[1]Balance!E29-[1]Balance!D29</f>
        <v>-2187.6999999999998</v>
      </c>
    </row>
    <row r="20" spans="1:6" x14ac:dyDescent="0.2">
      <c r="A20" s="79" t="s">
        <v>84</v>
      </c>
      <c r="B20" s="80">
        <f>[1]Balance!C30-[1]Balance!B30</f>
        <v>0</v>
      </c>
      <c r="C20" s="80">
        <f>[1]Balance!D30-[1]Balance!C30</f>
        <v>-3.9000000000000004</v>
      </c>
      <c r="D20" s="80">
        <f>[1]Balance!E30-[1]Balance!D30</f>
        <v>4</v>
      </c>
    </row>
    <row r="21" spans="1:6" x14ac:dyDescent="0.2">
      <c r="A21" s="79" t="s">
        <v>85</v>
      </c>
      <c r="B21" s="80">
        <f>[1]Balance!C31-[1]Balance!B31</f>
        <v>0</v>
      </c>
      <c r="C21" s="80">
        <f>[1]Balance!D31-[1]Balance!C31</f>
        <v>14.700000000000003</v>
      </c>
      <c r="D21" s="80">
        <f>[1]Balance!E31-[1]Balance!D31</f>
        <v>5.3999999999999986</v>
      </c>
    </row>
    <row r="22" spans="1:6" x14ac:dyDescent="0.2">
      <c r="A22" s="79" t="s">
        <v>86</v>
      </c>
      <c r="B22" s="80">
        <f>[1]Balance!C32-[1]Balance!B32</f>
        <v>0</v>
      </c>
      <c r="C22" s="80">
        <f>[1]Balance!D32-[1]Balance!C32</f>
        <v>6.6000000000000014</v>
      </c>
      <c r="D22" s="80">
        <f>[1]Balance!E32-[1]Balance!D32</f>
        <v>10331.4</v>
      </c>
    </row>
    <row r="23" spans="1:6" ht="14.25" x14ac:dyDescent="0.2">
      <c r="A23" s="81" t="s">
        <v>87</v>
      </c>
      <c r="B23" s="77">
        <f>SUM(B11:B22)</f>
        <v>-1438.8999999999987</v>
      </c>
      <c r="C23" s="77">
        <f>SUM(C11:C22)</f>
        <v>1157.6000000000051</v>
      </c>
      <c r="D23" s="77">
        <f>SUM(D11:D22)</f>
        <v>-2358.2000000000044</v>
      </c>
    </row>
    <row r="24" spans="1:6" ht="15.75" x14ac:dyDescent="0.25">
      <c r="A24" s="82"/>
      <c r="B24" s="83"/>
      <c r="C24" s="83"/>
      <c r="D24" s="1"/>
    </row>
    <row r="25" spans="1:6" ht="15.75" x14ac:dyDescent="0.25">
      <c r="A25" s="72" t="s">
        <v>88</v>
      </c>
      <c r="B25" s="84"/>
      <c r="C25" s="84"/>
      <c r="D25" s="1"/>
    </row>
    <row r="26" spans="1:6" x14ac:dyDescent="0.2">
      <c r="A26" s="85" t="s">
        <v>89</v>
      </c>
      <c r="B26" s="80">
        <f>-[1]Balance!C14+[1]Balance!B14-B10</f>
        <v>0</v>
      </c>
      <c r="C26" s="80">
        <f>-[1]Balance!D14+[1]Balance!C14-C10</f>
        <v>-2077.8000000000002</v>
      </c>
      <c r="D26" s="80">
        <f>-[1]Balance!E14+[1]Balance!D14-D10</f>
        <v>-1739.5000000000009</v>
      </c>
      <c r="E26" s="86"/>
      <c r="F26" s="86"/>
    </row>
    <row r="27" spans="1:6" x14ac:dyDescent="0.2">
      <c r="A27" s="85" t="s">
        <v>90</v>
      </c>
      <c r="B27" s="80">
        <f>[1]Balance!B19-[1]Balance!C19</f>
        <v>0</v>
      </c>
      <c r="C27" s="80">
        <f>[1]Balance!C19-[1]Balance!D19</f>
        <v>290.7</v>
      </c>
      <c r="D27" s="80">
        <f>[1]Balance!D19-[1]Balance!E19</f>
        <v>22.6</v>
      </c>
      <c r="E27" s="86"/>
      <c r="F27" s="86"/>
    </row>
    <row r="28" spans="1:6" x14ac:dyDescent="0.2">
      <c r="A28" s="79" t="s">
        <v>91</v>
      </c>
      <c r="B28" s="80">
        <f>[1]Balance!B18-[1]Balance!C18</f>
        <v>0</v>
      </c>
      <c r="C28" s="80">
        <f>[1]Balance!C18-[1]Balance!D18</f>
        <v>1680.7999999999993</v>
      </c>
      <c r="D28" s="80">
        <f>[1]Balance!D18-[1]Balance!E18</f>
        <v>1941.6</v>
      </c>
    </row>
    <row r="29" spans="1:6" ht="14.25" x14ac:dyDescent="0.2">
      <c r="A29" s="81" t="s">
        <v>92</v>
      </c>
      <c r="B29" s="77">
        <f>SUM(B26:B28)</f>
        <v>0</v>
      </c>
      <c r="C29" s="77">
        <f>SUM(C26:C28)</f>
        <v>-106.30000000000086</v>
      </c>
      <c r="D29" s="77">
        <f>SUM(D26:D28)</f>
        <v>224.69999999999891</v>
      </c>
    </row>
    <row r="30" spans="1:6" x14ac:dyDescent="0.2">
      <c r="A30" s="87"/>
      <c r="B30" s="75"/>
      <c r="C30" s="83"/>
      <c r="D30" s="1"/>
    </row>
    <row r="31" spans="1:6" ht="15.75" x14ac:dyDescent="0.25">
      <c r="A31" s="72" t="s">
        <v>93</v>
      </c>
      <c r="B31" s="84"/>
      <c r="C31" s="84"/>
      <c r="D31" s="1"/>
    </row>
    <row r="32" spans="1:6" x14ac:dyDescent="0.2">
      <c r="A32" s="79" t="s">
        <v>94</v>
      </c>
      <c r="B32" s="80">
        <f>[1]Balance!B27-[1]Balance!C27</f>
        <v>0</v>
      </c>
      <c r="C32" s="80">
        <f>[1]Balance!C27-[1]Balance!D27</f>
        <v>0</v>
      </c>
      <c r="D32" s="80">
        <f>[1]Balance!D27-[1]Balance!E27</f>
        <v>0</v>
      </c>
    </row>
    <row r="33" spans="1:4" x14ac:dyDescent="0.2">
      <c r="A33" s="79" t="s">
        <v>95</v>
      </c>
      <c r="B33" s="80">
        <f>[1]Balance!B35-[1]Balance!C35</f>
        <v>0</v>
      </c>
      <c r="C33" s="80">
        <f>[1]Balance!C35-[1]Balance!D35</f>
        <v>0</v>
      </c>
      <c r="D33" s="80">
        <f>[1]Balance!D35-[1]Balance!E35</f>
        <v>0</v>
      </c>
    </row>
    <row r="34" spans="1:4" x14ac:dyDescent="0.2">
      <c r="A34" s="79" t="s">
        <v>96</v>
      </c>
      <c r="B34" s="80">
        <f>[1]Balance!B37-[1]Balance!C37</f>
        <v>0</v>
      </c>
      <c r="C34" s="80">
        <f>[1]Balance!C37-[1]Balance!D37</f>
        <v>0</v>
      </c>
      <c r="D34" s="80">
        <f>[1]Balance!D37-[1]Balance!E37</f>
        <v>0</v>
      </c>
    </row>
    <row r="35" spans="1:4" x14ac:dyDescent="0.2">
      <c r="A35" s="79" t="s">
        <v>97</v>
      </c>
      <c r="B35" s="80">
        <f>[1]Balance!B36-[1]Balance!C36</f>
        <v>0</v>
      </c>
      <c r="C35" s="80">
        <f>[1]Balance!C36-[1]Balance!D36</f>
        <v>0</v>
      </c>
      <c r="D35" s="80">
        <f>[1]Balance!D36-[1]Balance!E36</f>
        <v>0</v>
      </c>
    </row>
    <row r="36" spans="1:4" x14ac:dyDescent="0.2">
      <c r="A36" s="79" t="s">
        <v>71</v>
      </c>
      <c r="B36" s="80">
        <f>[1]Balance!C47-[1]Balance!B47-'[1]Inc.State$'!B12-B6</f>
        <v>1438.8999999999987</v>
      </c>
      <c r="C36" s="80">
        <f>[1]Balance!D47-[1]Balance!C47-'[1]Inc.State$'!C12-C6</f>
        <v>-1059.7000000000035</v>
      </c>
      <c r="D36" s="80">
        <f>[1]Balance!E47-[1]Balance!D47-'[1]Inc.State$'!D12-D6</f>
        <v>1508.0000000000025</v>
      </c>
    </row>
    <row r="37" spans="1:4" x14ac:dyDescent="0.2">
      <c r="A37" s="79" t="s">
        <v>98</v>
      </c>
      <c r="B37" s="80">
        <f>[1]Balance!C39-[1]Balance!B39</f>
        <v>0</v>
      </c>
      <c r="C37" s="80">
        <f>[1]Balance!D39-[1]Balance!C39</f>
        <v>0</v>
      </c>
      <c r="D37" s="80">
        <f>[1]Balance!E39-[1]Balance!D39</f>
        <v>-8</v>
      </c>
    </row>
    <row r="38" spans="1:4" ht="14.25" x14ac:dyDescent="0.2">
      <c r="A38" s="81" t="s">
        <v>99</v>
      </c>
      <c r="B38" s="77">
        <f>SUM(B32:B37)</f>
        <v>1438.8999999999987</v>
      </c>
      <c r="C38" s="77">
        <f>SUM(C32:C36)</f>
        <v>-1059.7000000000035</v>
      </c>
      <c r="D38" s="77">
        <f>SUM(D32:D36)</f>
        <v>1508.0000000000025</v>
      </c>
    </row>
    <row r="39" spans="1:4" ht="15.75" x14ac:dyDescent="0.25">
      <c r="A39" s="88" t="s">
        <v>100</v>
      </c>
      <c r="B39" s="77">
        <f>B23+B29+B38</f>
        <v>0</v>
      </c>
      <c r="C39" s="77">
        <f>C23+C29+C38</f>
        <v>-8.3999999999991815</v>
      </c>
      <c r="D39" s="77">
        <f>D23+D29+D38</f>
        <v>-625.50000000000296</v>
      </c>
    </row>
    <row r="40" spans="1:4" x14ac:dyDescent="0.2">
      <c r="A40" s="76"/>
      <c r="B40" s="83"/>
      <c r="C40" s="83"/>
      <c r="D40" s="1"/>
    </row>
    <row r="41" spans="1:4" ht="15.75" x14ac:dyDescent="0.25">
      <c r="A41" s="89" t="s">
        <v>101</v>
      </c>
      <c r="B41" s="83"/>
      <c r="C41" s="83"/>
      <c r="D41" s="1"/>
    </row>
    <row r="42" spans="1:4" x14ac:dyDescent="0.2">
      <c r="A42" s="90" t="s">
        <v>102</v>
      </c>
      <c r="B42" s="75">
        <f>[1]Balance!B4</f>
        <v>80.5</v>
      </c>
      <c r="C42" s="75">
        <f>[1]Balance!C4</f>
        <v>80.5</v>
      </c>
      <c r="D42" s="75">
        <f>[1]Balance!D4</f>
        <v>72.099999999999994</v>
      </c>
    </row>
    <row r="43" spans="1:4" x14ac:dyDescent="0.2">
      <c r="A43" s="90" t="s">
        <v>103</v>
      </c>
      <c r="B43" s="75">
        <f>[1]Balance!C4</f>
        <v>80.5</v>
      </c>
      <c r="C43" s="75">
        <f>[1]Balance!D4</f>
        <v>72.099999999999994</v>
      </c>
      <c r="D43" s="75">
        <f>[1]Balance!E4</f>
        <v>194.6</v>
      </c>
    </row>
    <row r="44" spans="1:4" x14ac:dyDescent="0.2">
      <c r="A44" s="78" t="s">
        <v>104</v>
      </c>
      <c r="B44" s="77">
        <f>B43-B42</f>
        <v>0</v>
      </c>
      <c r="C44" s="77">
        <f>C43-C42</f>
        <v>-8.4000000000000057</v>
      </c>
      <c r="D44" s="77">
        <f>D43-D42</f>
        <v>122.5</v>
      </c>
    </row>
    <row r="45" spans="1:4" x14ac:dyDescent="0.2">
      <c r="A45" s="91" t="s">
        <v>105</v>
      </c>
      <c r="B45" s="92">
        <f>B39-B44</f>
        <v>0</v>
      </c>
      <c r="C45" s="92">
        <f>C39-C44</f>
        <v>8.2422957348171622E-13</v>
      </c>
      <c r="D45" s="92">
        <f>D39-D44</f>
        <v>-748.00000000000296</v>
      </c>
    </row>
    <row r="46" spans="1:4" x14ac:dyDescent="0.2">
      <c r="B46" s="93"/>
      <c r="C46" s="93"/>
    </row>
    <row r="47" spans="1:4" x14ac:dyDescent="0.2">
      <c r="B47" s="93"/>
      <c r="C47" s="93"/>
    </row>
    <row r="48" spans="1:4" x14ac:dyDescent="0.2">
      <c r="B48" s="93"/>
      <c r="C48" s="9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B54" sqref="B54"/>
    </sheetView>
  </sheetViews>
  <sheetFormatPr defaultColWidth="9.28515625" defaultRowHeight="12.75" x14ac:dyDescent="0.2"/>
  <cols>
    <col min="1" max="1" width="3.140625" style="97" customWidth="1"/>
    <col min="2" max="2" width="56.85546875" style="97" customWidth="1"/>
    <col min="3" max="3" width="10.28515625" style="97" customWidth="1" collapsed="1"/>
    <col min="4" max="4" width="10.28515625" style="97" customWidth="1"/>
    <col min="5" max="5" width="10.42578125" style="97" customWidth="1"/>
    <col min="6" max="256" width="9.28515625" style="97"/>
    <col min="257" max="257" width="3.140625" style="97" customWidth="1"/>
    <col min="258" max="258" width="56.85546875" style="97" customWidth="1"/>
    <col min="259" max="260" width="10.28515625" style="97" customWidth="1"/>
    <col min="261" max="261" width="10.42578125" style="97" customWidth="1"/>
    <col min="262" max="512" width="9.28515625" style="97"/>
    <col min="513" max="513" width="3.140625" style="97" customWidth="1"/>
    <col min="514" max="514" width="56.85546875" style="97" customWidth="1"/>
    <col min="515" max="516" width="10.28515625" style="97" customWidth="1"/>
    <col min="517" max="517" width="10.42578125" style="97" customWidth="1"/>
    <col min="518" max="768" width="9.28515625" style="97"/>
    <col min="769" max="769" width="3.140625" style="97" customWidth="1"/>
    <col min="770" max="770" width="56.85546875" style="97" customWidth="1"/>
    <col min="771" max="772" width="10.28515625" style="97" customWidth="1"/>
    <col min="773" max="773" width="10.42578125" style="97" customWidth="1"/>
    <col min="774" max="1024" width="9.28515625" style="97"/>
    <col min="1025" max="1025" width="3.140625" style="97" customWidth="1"/>
    <col min="1026" max="1026" width="56.85546875" style="97" customWidth="1"/>
    <col min="1027" max="1028" width="10.28515625" style="97" customWidth="1"/>
    <col min="1029" max="1029" width="10.42578125" style="97" customWidth="1"/>
    <col min="1030" max="1280" width="9.28515625" style="97"/>
    <col min="1281" max="1281" width="3.140625" style="97" customWidth="1"/>
    <col min="1282" max="1282" width="56.85546875" style="97" customWidth="1"/>
    <col min="1283" max="1284" width="10.28515625" style="97" customWidth="1"/>
    <col min="1285" max="1285" width="10.42578125" style="97" customWidth="1"/>
    <col min="1286" max="1536" width="9.28515625" style="97"/>
    <col min="1537" max="1537" width="3.140625" style="97" customWidth="1"/>
    <col min="1538" max="1538" width="56.85546875" style="97" customWidth="1"/>
    <col min="1539" max="1540" width="10.28515625" style="97" customWidth="1"/>
    <col min="1541" max="1541" width="10.42578125" style="97" customWidth="1"/>
    <col min="1542" max="1792" width="9.28515625" style="97"/>
    <col min="1793" max="1793" width="3.140625" style="97" customWidth="1"/>
    <col min="1794" max="1794" width="56.85546875" style="97" customWidth="1"/>
    <col min="1795" max="1796" width="10.28515625" style="97" customWidth="1"/>
    <col min="1797" max="1797" width="10.42578125" style="97" customWidth="1"/>
    <col min="1798" max="2048" width="9.28515625" style="97"/>
    <col min="2049" max="2049" width="3.140625" style="97" customWidth="1"/>
    <col min="2050" max="2050" width="56.85546875" style="97" customWidth="1"/>
    <col min="2051" max="2052" width="10.28515625" style="97" customWidth="1"/>
    <col min="2053" max="2053" width="10.42578125" style="97" customWidth="1"/>
    <col min="2054" max="2304" width="9.28515625" style="97"/>
    <col min="2305" max="2305" width="3.140625" style="97" customWidth="1"/>
    <col min="2306" max="2306" width="56.85546875" style="97" customWidth="1"/>
    <col min="2307" max="2308" width="10.28515625" style="97" customWidth="1"/>
    <col min="2309" max="2309" width="10.42578125" style="97" customWidth="1"/>
    <col min="2310" max="2560" width="9.28515625" style="97"/>
    <col min="2561" max="2561" width="3.140625" style="97" customWidth="1"/>
    <col min="2562" max="2562" width="56.85546875" style="97" customWidth="1"/>
    <col min="2563" max="2564" width="10.28515625" style="97" customWidth="1"/>
    <col min="2565" max="2565" width="10.42578125" style="97" customWidth="1"/>
    <col min="2566" max="2816" width="9.28515625" style="97"/>
    <col min="2817" max="2817" width="3.140625" style="97" customWidth="1"/>
    <col min="2818" max="2818" width="56.85546875" style="97" customWidth="1"/>
    <col min="2819" max="2820" width="10.28515625" style="97" customWidth="1"/>
    <col min="2821" max="2821" width="10.42578125" style="97" customWidth="1"/>
    <col min="2822" max="3072" width="9.28515625" style="97"/>
    <col min="3073" max="3073" width="3.140625" style="97" customWidth="1"/>
    <col min="3074" max="3074" width="56.85546875" style="97" customWidth="1"/>
    <col min="3075" max="3076" width="10.28515625" style="97" customWidth="1"/>
    <col min="3077" max="3077" width="10.42578125" style="97" customWidth="1"/>
    <col min="3078" max="3328" width="9.28515625" style="97"/>
    <col min="3329" max="3329" width="3.140625" style="97" customWidth="1"/>
    <col min="3330" max="3330" width="56.85546875" style="97" customWidth="1"/>
    <col min="3331" max="3332" width="10.28515625" style="97" customWidth="1"/>
    <col min="3333" max="3333" width="10.42578125" style="97" customWidth="1"/>
    <col min="3334" max="3584" width="9.28515625" style="97"/>
    <col min="3585" max="3585" width="3.140625" style="97" customWidth="1"/>
    <col min="3586" max="3586" width="56.85546875" style="97" customWidth="1"/>
    <col min="3587" max="3588" width="10.28515625" style="97" customWidth="1"/>
    <col min="3589" max="3589" width="10.42578125" style="97" customWidth="1"/>
    <col min="3590" max="3840" width="9.28515625" style="97"/>
    <col min="3841" max="3841" width="3.140625" style="97" customWidth="1"/>
    <col min="3842" max="3842" width="56.85546875" style="97" customWidth="1"/>
    <col min="3843" max="3844" width="10.28515625" style="97" customWidth="1"/>
    <col min="3845" max="3845" width="10.42578125" style="97" customWidth="1"/>
    <col min="3846" max="4096" width="9.28515625" style="97"/>
    <col min="4097" max="4097" width="3.140625" style="97" customWidth="1"/>
    <col min="4098" max="4098" width="56.85546875" style="97" customWidth="1"/>
    <col min="4099" max="4100" width="10.28515625" style="97" customWidth="1"/>
    <col min="4101" max="4101" width="10.42578125" style="97" customWidth="1"/>
    <col min="4102" max="4352" width="9.28515625" style="97"/>
    <col min="4353" max="4353" width="3.140625" style="97" customWidth="1"/>
    <col min="4354" max="4354" width="56.85546875" style="97" customWidth="1"/>
    <col min="4355" max="4356" width="10.28515625" style="97" customWidth="1"/>
    <col min="4357" max="4357" width="10.42578125" style="97" customWidth="1"/>
    <col min="4358" max="4608" width="9.28515625" style="97"/>
    <col min="4609" max="4609" width="3.140625" style="97" customWidth="1"/>
    <col min="4610" max="4610" width="56.85546875" style="97" customWidth="1"/>
    <col min="4611" max="4612" width="10.28515625" style="97" customWidth="1"/>
    <col min="4613" max="4613" width="10.42578125" style="97" customWidth="1"/>
    <col min="4614" max="4864" width="9.28515625" style="97"/>
    <col min="4865" max="4865" width="3.140625" style="97" customWidth="1"/>
    <col min="4866" max="4866" width="56.85546875" style="97" customWidth="1"/>
    <col min="4867" max="4868" width="10.28515625" style="97" customWidth="1"/>
    <col min="4869" max="4869" width="10.42578125" style="97" customWidth="1"/>
    <col min="4870" max="5120" width="9.28515625" style="97"/>
    <col min="5121" max="5121" width="3.140625" style="97" customWidth="1"/>
    <col min="5122" max="5122" width="56.85546875" style="97" customWidth="1"/>
    <col min="5123" max="5124" width="10.28515625" style="97" customWidth="1"/>
    <col min="5125" max="5125" width="10.42578125" style="97" customWidth="1"/>
    <col min="5126" max="5376" width="9.28515625" style="97"/>
    <col min="5377" max="5377" width="3.140625" style="97" customWidth="1"/>
    <col min="5378" max="5378" width="56.85546875" style="97" customWidth="1"/>
    <col min="5379" max="5380" width="10.28515625" style="97" customWidth="1"/>
    <col min="5381" max="5381" width="10.42578125" style="97" customWidth="1"/>
    <col min="5382" max="5632" width="9.28515625" style="97"/>
    <col min="5633" max="5633" width="3.140625" style="97" customWidth="1"/>
    <col min="5634" max="5634" width="56.85546875" style="97" customWidth="1"/>
    <col min="5635" max="5636" width="10.28515625" style="97" customWidth="1"/>
    <col min="5637" max="5637" width="10.42578125" style="97" customWidth="1"/>
    <col min="5638" max="5888" width="9.28515625" style="97"/>
    <col min="5889" max="5889" width="3.140625" style="97" customWidth="1"/>
    <col min="5890" max="5890" width="56.85546875" style="97" customWidth="1"/>
    <col min="5891" max="5892" width="10.28515625" style="97" customWidth="1"/>
    <col min="5893" max="5893" width="10.42578125" style="97" customWidth="1"/>
    <col min="5894" max="6144" width="9.28515625" style="97"/>
    <col min="6145" max="6145" width="3.140625" style="97" customWidth="1"/>
    <col min="6146" max="6146" width="56.85546875" style="97" customWidth="1"/>
    <col min="6147" max="6148" width="10.28515625" style="97" customWidth="1"/>
    <col min="6149" max="6149" width="10.42578125" style="97" customWidth="1"/>
    <col min="6150" max="6400" width="9.28515625" style="97"/>
    <col min="6401" max="6401" width="3.140625" style="97" customWidth="1"/>
    <col min="6402" max="6402" width="56.85546875" style="97" customWidth="1"/>
    <col min="6403" max="6404" width="10.28515625" style="97" customWidth="1"/>
    <col min="6405" max="6405" width="10.42578125" style="97" customWidth="1"/>
    <col min="6406" max="6656" width="9.28515625" style="97"/>
    <col min="6657" max="6657" width="3.140625" style="97" customWidth="1"/>
    <col min="6658" max="6658" width="56.85546875" style="97" customWidth="1"/>
    <col min="6659" max="6660" width="10.28515625" style="97" customWidth="1"/>
    <col min="6661" max="6661" width="10.42578125" style="97" customWidth="1"/>
    <col min="6662" max="6912" width="9.28515625" style="97"/>
    <col min="6913" max="6913" width="3.140625" style="97" customWidth="1"/>
    <col min="6914" max="6914" width="56.85546875" style="97" customWidth="1"/>
    <col min="6915" max="6916" width="10.28515625" style="97" customWidth="1"/>
    <col min="6917" max="6917" width="10.42578125" style="97" customWidth="1"/>
    <col min="6918" max="7168" width="9.28515625" style="97"/>
    <col min="7169" max="7169" width="3.140625" style="97" customWidth="1"/>
    <col min="7170" max="7170" width="56.85546875" style="97" customWidth="1"/>
    <col min="7171" max="7172" width="10.28515625" style="97" customWidth="1"/>
    <col min="7173" max="7173" width="10.42578125" style="97" customWidth="1"/>
    <col min="7174" max="7424" width="9.28515625" style="97"/>
    <col min="7425" max="7425" width="3.140625" style="97" customWidth="1"/>
    <col min="7426" max="7426" width="56.85546875" style="97" customWidth="1"/>
    <col min="7427" max="7428" width="10.28515625" style="97" customWidth="1"/>
    <col min="7429" max="7429" width="10.42578125" style="97" customWidth="1"/>
    <col min="7430" max="7680" width="9.28515625" style="97"/>
    <col min="7681" max="7681" width="3.140625" style="97" customWidth="1"/>
    <col min="7682" max="7682" width="56.85546875" style="97" customWidth="1"/>
    <col min="7683" max="7684" width="10.28515625" style="97" customWidth="1"/>
    <col min="7685" max="7685" width="10.42578125" style="97" customWidth="1"/>
    <col min="7686" max="7936" width="9.28515625" style="97"/>
    <col min="7937" max="7937" width="3.140625" style="97" customWidth="1"/>
    <col min="7938" max="7938" width="56.85546875" style="97" customWidth="1"/>
    <col min="7939" max="7940" width="10.28515625" style="97" customWidth="1"/>
    <col min="7941" max="7941" width="10.42578125" style="97" customWidth="1"/>
    <col min="7942" max="8192" width="9.28515625" style="97"/>
    <col min="8193" max="8193" width="3.140625" style="97" customWidth="1"/>
    <col min="8194" max="8194" width="56.85546875" style="97" customWidth="1"/>
    <col min="8195" max="8196" width="10.28515625" style="97" customWidth="1"/>
    <col min="8197" max="8197" width="10.42578125" style="97" customWidth="1"/>
    <col min="8198" max="8448" width="9.28515625" style="97"/>
    <col min="8449" max="8449" width="3.140625" style="97" customWidth="1"/>
    <col min="8450" max="8450" width="56.85546875" style="97" customWidth="1"/>
    <col min="8451" max="8452" width="10.28515625" style="97" customWidth="1"/>
    <col min="8453" max="8453" width="10.42578125" style="97" customWidth="1"/>
    <col min="8454" max="8704" width="9.28515625" style="97"/>
    <col min="8705" max="8705" width="3.140625" style="97" customWidth="1"/>
    <col min="8706" max="8706" width="56.85546875" style="97" customWidth="1"/>
    <col min="8707" max="8708" width="10.28515625" style="97" customWidth="1"/>
    <col min="8709" max="8709" width="10.42578125" style="97" customWidth="1"/>
    <col min="8710" max="8960" width="9.28515625" style="97"/>
    <col min="8961" max="8961" width="3.140625" style="97" customWidth="1"/>
    <col min="8962" max="8962" width="56.85546875" style="97" customWidth="1"/>
    <col min="8963" max="8964" width="10.28515625" style="97" customWidth="1"/>
    <col min="8965" max="8965" width="10.42578125" style="97" customWidth="1"/>
    <col min="8966" max="9216" width="9.28515625" style="97"/>
    <col min="9217" max="9217" width="3.140625" style="97" customWidth="1"/>
    <col min="9218" max="9218" width="56.85546875" style="97" customWidth="1"/>
    <col min="9219" max="9220" width="10.28515625" style="97" customWidth="1"/>
    <col min="9221" max="9221" width="10.42578125" style="97" customWidth="1"/>
    <col min="9222" max="9472" width="9.28515625" style="97"/>
    <col min="9473" max="9473" width="3.140625" style="97" customWidth="1"/>
    <col min="9474" max="9474" width="56.85546875" style="97" customWidth="1"/>
    <col min="9475" max="9476" width="10.28515625" style="97" customWidth="1"/>
    <col min="9477" max="9477" width="10.42578125" style="97" customWidth="1"/>
    <col min="9478" max="9728" width="9.28515625" style="97"/>
    <col min="9729" max="9729" width="3.140625" style="97" customWidth="1"/>
    <col min="9730" max="9730" width="56.85546875" style="97" customWidth="1"/>
    <col min="9731" max="9732" width="10.28515625" style="97" customWidth="1"/>
    <col min="9733" max="9733" width="10.42578125" style="97" customWidth="1"/>
    <col min="9734" max="9984" width="9.28515625" style="97"/>
    <col min="9985" max="9985" width="3.140625" style="97" customWidth="1"/>
    <col min="9986" max="9986" width="56.85546875" style="97" customWidth="1"/>
    <col min="9987" max="9988" width="10.28515625" style="97" customWidth="1"/>
    <col min="9989" max="9989" width="10.42578125" style="97" customWidth="1"/>
    <col min="9990" max="10240" width="9.28515625" style="97"/>
    <col min="10241" max="10241" width="3.140625" style="97" customWidth="1"/>
    <col min="10242" max="10242" width="56.85546875" style="97" customWidth="1"/>
    <col min="10243" max="10244" width="10.28515625" style="97" customWidth="1"/>
    <col min="10245" max="10245" width="10.42578125" style="97" customWidth="1"/>
    <col min="10246" max="10496" width="9.28515625" style="97"/>
    <col min="10497" max="10497" width="3.140625" style="97" customWidth="1"/>
    <col min="10498" max="10498" width="56.85546875" style="97" customWidth="1"/>
    <col min="10499" max="10500" width="10.28515625" style="97" customWidth="1"/>
    <col min="10501" max="10501" width="10.42578125" style="97" customWidth="1"/>
    <col min="10502" max="10752" width="9.28515625" style="97"/>
    <col min="10753" max="10753" width="3.140625" style="97" customWidth="1"/>
    <col min="10754" max="10754" width="56.85546875" style="97" customWidth="1"/>
    <col min="10755" max="10756" width="10.28515625" style="97" customWidth="1"/>
    <col min="10757" max="10757" width="10.42578125" style="97" customWidth="1"/>
    <col min="10758" max="11008" width="9.28515625" style="97"/>
    <col min="11009" max="11009" width="3.140625" style="97" customWidth="1"/>
    <col min="11010" max="11010" width="56.85546875" style="97" customWidth="1"/>
    <col min="11011" max="11012" width="10.28515625" style="97" customWidth="1"/>
    <col min="11013" max="11013" width="10.42578125" style="97" customWidth="1"/>
    <col min="11014" max="11264" width="9.28515625" style="97"/>
    <col min="11265" max="11265" width="3.140625" style="97" customWidth="1"/>
    <col min="11266" max="11266" width="56.85546875" style="97" customWidth="1"/>
    <col min="11267" max="11268" width="10.28515625" style="97" customWidth="1"/>
    <col min="11269" max="11269" width="10.42578125" style="97" customWidth="1"/>
    <col min="11270" max="11520" width="9.28515625" style="97"/>
    <col min="11521" max="11521" width="3.140625" style="97" customWidth="1"/>
    <col min="11522" max="11522" width="56.85546875" style="97" customWidth="1"/>
    <col min="11523" max="11524" width="10.28515625" style="97" customWidth="1"/>
    <col min="11525" max="11525" width="10.42578125" style="97" customWidth="1"/>
    <col min="11526" max="11776" width="9.28515625" style="97"/>
    <col min="11777" max="11777" width="3.140625" style="97" customWidth="1"/>
    <col min="11778" max="11778" width="56.85546875" style="97" customWidth="1"/>
    <col min="11779" max="11780" width="10.28515625" style="97" customWidth="1"/>
    <col min="11781" max="11781" width="10.42578125" style="97" customWidth="1"/>
    <col min="11782" max="12032" width="9.28515625" style="97"/>
    <col min="12033" max="12033" width="3.140625" style="97" customWidth="1"/>
    <col min="12034" max="12034" width="56.85546875" style="97" customWidth="1"/>
    <col min="12035" max="12036" width="10.28515625" style="97" customWidth="1"/>
    <col min="12037" max="12037" width="10.42578125" style="97" customWidth="1"/>
    <col min="12038" max="12288" width="9.28515625" style="97"/>
    <col min="12289" max="12289" width="3.140625" style="97" customWidth="1"/>
    <col min="12290" max="12290" width="56.85546875" style="97" customWidth="1"/>
    <col min="12291" max="12292" width="10.28515625" style="97" customWidth="1"/>
    <col min="12293" max="12293" width="10.42578125" style="97" customWidth="1"/>
    <col min="12294" max="12544" width="9.28515625" style="97"/>
    <col min="12545" max="12545" width="3.140625" style="97" customWidth="1"/>
    <col min="12546" max="12546" width="56.85546875" style="97" customWidth="1"/>
    <col min="12547" max="12548" width="10.28515625" style="97" customWidth="1"/>
    <col min="12549" max="12549" width="10.42578125" style="97" customWidth="1"/>
    <col min="12550" max="12800" width="9.28515625" style="97"/>
    <col min="12801" max="12801" width="3.140625" style="97" customWidth="1"/>
    <col min="12802" max="12802" width="56.85546875" style="97" customWidth="1"/>
    <col min="12803" max="12804" width="10.28515625" style="97" customWidth="1"/>
    <col min="12805" max="12805" width="10.42578125" style="97" customWidth="1"/>
    <col min="12806" max="13056" width="9.28515625" style="97"/>
    <col min="13057" max="13057" width="3.140625" style="97" customWidth="1"/>
    <col min="13058" max="13058" width="56.85546875" style="97" customWidth="1"/>
    <col min="13059" max="13060" width="10.28515625" style="97" customWidth="1"/>
    <col min="13061" max="13061" width="10.42578125" style="97" customWidth="1"/>
    <col min="13062" max="13312" width="9.28515625" style="97"/>
    <col min="13313" max="13313" width="3.140625" style="97" customWidth="1"/>
    <col min="13314" max="13314" width="56.85546875" style="97" customWidth="1"/>
    <col min="13315" max="13316" width="10.28515625" style="97" customWidth="1"/>
    <col min="13317" max="13317" width="10.42578125" style="97" customWidth="1"/>
    <col min="13318" max="13568" width="9.28515625" style="97"/>
    <col min="13569" max="13569" width="3.140625" style="97" customWidth="1"/>
    <col min="13570" max="13570" width="56.85546875" style="97" customWidth="1"/>
    <col min="13571" max="13572" width="10.28515625" style="97" customWidth="1"/>
    <col min="13573" max="13573" width="10.42578125" style="97" customWidth="1"/>
    <col min="13574" max="13824" width="9.28515625" style="97"/>
    <col min="13825" max="13825" width="3.140625" style="97" customWidth="1"/>
    <col min="13826" max="13826" width="56.85546875" style="97" customWidth="1"/>
    <col min="13827" max="13828" width="10.28515625" style="97" customWidth="1"/>
    <col min="13829" max="13829" width="10.42578125" style="97" customWidth="1"/>
    <col min="13830" max="14080" width="9.28515625" style="97"/>
    <col min="14081" max="14081" width="3.140625" style="97" customWidth="1"/>
    <col min="14082" max="14082" width="56.85546875" style="97" customWidth="1"/>
    <col min="14083" max="14084" width="10.28515625" style="97" customWidth="1"/>
    <col min="14085" max="14085" width="10.42578125" style="97" customWidth="1"/>
    <col min="14086" max="14336" width="9.28515625" style="97"/>
    <col min="14337" max="14337" width="3.140625" style="97" customWidth="1"/>
    <col min="14338" max="14338" width="56.85546875" style="97" customWidth="1"/>
    <col min="14339" max="14340" width="10.28515625" style="97" customWidth="1"/>
    <col min="14341" max="14341" width="10.42578125" style="97" customWidth="1"/>
    <col min="14342" max="14592" width="9.28515625" style="97"/>
    <col min="14593" max="14593" width="3.140625" style="97" customWidth="1"/>
    <col min="14594" max="14594" width="56.85546875" style="97" customWidth="1"/>
    <col min="14595" max="14596" width="10.28515625" style="97" customWidth="1"/>
    <col min="14597" max="14597" width="10.42578125" style="97" customWidth="1"/>
    <col min="14598" max="14848" width="9.28515625" style="97"/>
    <col min="14849" max="14849" width="3.140625" style="97" customWidth="1"/>
    <col min="14850" max="14850" width="56.85546875" style="97" customWidth="1"/>
    <col min="14851" max="14852" width="10.28515625" style="97" customWidth="1"/>
    <col min="14853" max="14853" width="10.42578125" style="97" customWidth="1"/>
    <col min="14854" max="15104" width="9.28515625" style="97"/>
    <col min="15105" max="15105" width="3.140625" style="97" customWidth="1"/>
    <col min="15106" max="15106" width="56.85546875" style="97" customWidth="1"/>
    <col min="15107" max="15108" width="10.28515625" style="97" customWidth="1"/>
    <col min="15109" max="15109" width="10.42578125" style="97" customWidth="1"/>
    <col min="15110" max="15360" width="9.28515625" style="97"/>
    <col min="15361" max="15361" width="3.140625" style="97" customWidth="1"/>
    <col min="15362" max="15362" width="56.85546875" style="97" customWidth="1"/>
    <col min="15363" max="15364" width="10.28515625" style="97" customWidth="1"/>
    <col min="15365" max="15365" width="10.42578125" style="97" customWidth="1"/>
    <col min="15366" max="15616" width="9.28515625" style="97"/>
    <col min="15617" max="15617" width="3.140625" style="97" customWidth="1"/>
    <col min="15618" max="15618" width="56.85546875" style="97" customWidth="1"/>
    <col min="15619" max="15620" width="10.28515625" style="97" customWidth="1"/>
    <col min="15621" max="15621" width="10.42578125" style="97" customWidth="1"/>
    <col min="15622" max="15872" width="9.28515625" style="97"/>
    <col min="15873" max="15873" width="3.140625" style="97" customWidth="1"/>
    <col min="15874" max="15874" width="56.85546875" style="97" customWidth="1"/>
    <col min="15875" max="15876" width="10.28515625" style="97" customWidth="1"/>
    <col min="15877" max="15877" width="10.42578125" style="97" customWidth="1"/>
    <col min="15878" max="16128" width="9.28515625" style="97"/>
    <col min="16129" max="16129" width="3.140625" style="97" customWidth="1"/>
    <col min="16130" max="16130" width="56.85546875" style="97" customWidth="1"/>
    <col min="16131" max="16132" width="10.28515625" style="97" customWidth="1"/>
    <col min="16133" max="16133" width="10.42578125" style="97" customWidth="1"/>
    <col min="16134" max="16384" width="9.28515625" style="97"/>
  </cols>
  <sheetData>
    <row r="1" spans="1:5" ht="15.75" x14ac:dyDescent="0.2">
      <c r="A1" s="94"/>
      <c r="B1" s="95" t="s">
        <v>106</v>
      </c>
      <c r="C1" s="96">
        <f>[1]Форма№1!D2</f>
        <v>40909</v>
      </c>
      <c r="D1" s="96">
        <f>[1]Форма№1!E2</f>
        <v>41275</v>
      </c>
      <c r="E1" s="96">
        <f>[1]Форма№1!F2</f>
        <v>41640</v>
      </c>
    </row>
    <row r="2" spans="1:5" x14ac:dyDescent="0.2">
      <c r="A2" s="94"/>
      <c r="B2" s="98" t="s">
        <v>107</v>
      </c>
      <c r="C2" s="99"/>
      <c r="D2" s="99"/>
      <c r="E2" s="100"/>
    </row>
    <row r="3" spans="1:5" x14ac:dyDescent="0.2">
      <c r="A3" s="94">
        <v>1</v>
      </c>
      <c r="B3" s="101" t="s">
        <v>108</v>
      </c>
      <c r="C3" s="102" t="s">
        <v>109</v>
      </c>
      <c r="D3" s="102">
        <f>('[1]Inc.State$'!C3-'[1]Inc.State$'!B3)/'[1]Inc.State$'!B3</f>
        <v>0.64626041536046763</v>
      </c>
      <c r="E3" s="102">
        <f>('[1]Inc.State$'!D3-'[1]Inc.State$'!C3)/'[1]Inc.State$'!C3</f>
        <v>0.57756829660992459</v>
      </c>
    </row>
    <row r="4" spans="1:5" x14ac:dyDescent="0.2">
      <c r="A4" s="94">
        <v>2</v>
      </c>
      <c r="B4" s="101" t="s">
        <v>110</v>
      </c>
      <c r="C4" s="103">
        <f>'[1]Inc.State$'!B5/'[1]Inc.State$'!B3</f>
        <v>0.1936359823409104</v>
      </c>
      <c r="D4" s="103">
        <f>'[1]Inc.State$'!C5/'[1]Inc.State$'!C3</f>
        <v>0.11095030848713926</v>
      </c>
      <c r="E4" s="103">
        <f>'[1]Inc.State$'!D5/'[1]Inc.State$'!D3</f>
        <v>0.13628614145907766</v>
      </c>
    </row>
    <row r="5" spans="1:5" x14ac:dyDescent="0.2">
      <c r="A5" s="94">
        <v>3</v>
      </c>
      <c r="B5" s="101" t="s">
        <v>111</v>
      </c>
      <c r="C5" s="103">
        <f>'[1]Inc.State$'!B7/'[1]Inc.State$'!B3</f>
        <v>-1.1078008725769511E-2</v>
      </c>
      <c r="D5" s="103">
        <f>'[1]Inc.State$'!C7/'[1]Inc.State$'!C3</f>
        <v>-4.0078375957702091E-2</v>
      </c>
      <c r="E5" s="103">
        <f>'[1]Inc.State$'!D7/'[1]Inc.State$'!D3</f>
        <v>2.5558334138049248E-2</v>
      </c>
    </row>
    <row r="6" spans="1:5" x14ac:dyDescent="0.2">
      <c r="A6" s="94">
        <v>4</v>
      </c>
      <c r="B6" s="101" t="s">
        <v>112</v>
      </c>
      <c r="C6" s="103">
        <f>'[1]Inc.State$'!B12/'[1]Inc.State$'!B3</f>
        <v>-6.2217590770920386E-2</v>
      </c>
      <c r="D6" s="103">
        <f>'[1]Inc.State$'!C12/'[1]Inc.State$'!C3</f>
        <v>-5.7881065009494838E-2</v>
      </c>
      <c r="E6" s="103">
        <f>'[1]Inc.State$'!D12/'[1]Inc.State$'!D3</f>
        <v>1.7864694502068971E-3</v>
      </c>
    </row>
    <row r="7" spans="1:5" x14ac:dyDescent="0.2">
      <c r="A7" s="94"/>
      <c r="B7" s="98" t="s">
        <v>113</v>
      </c>
      <c r="C7" s="104"/>
      <c r="D7" s="104"/>
      <c r="E7" s="100"/>
    </row>
    <row r="8" spans="1:5" x14ac:dyDescent="0.2">
      <c r="A8" s="94">
        <v>5</v>
      </c>
      <c r="B8" s="101" t="s">
        <v>114</v>
      </c>
      <c r="C8" s="105">
        <f>IF('[1]Inc.State$'!B3=0,0,'[1]Inc.State$'!B4/'[1]Inc.State$'!B3)</f>
        <v>0.8063640176590896</v>
      </c>
      <c r="D8" s="105">
        <f>IF('[1]Inc.State$'!C3=0,0,'[1]Inc.State$'!C4/'[1]Inc.State$'!C3)</f>
        <v>0.88904969151286073</v>
      </c>
      <c r="E8" s="105">
        <f>IF('[1]Inc.State$'!D3=0,0,'[1]Inc.State$'!D4/'[1]Inc.State$'!D3)</f>
        <v>0.86371385854092231</v>
      </c>
    </row>
    <row r="9" spans="1:5" x14ac:dyDescent="0.2">
      <c r="A9" s="94">
        <v>6</v>
      </c>
      <c r="B9" s="101" t="s">
        <v>115</v>
      </c>
      <c r="C9" s="105">
        <f>'[1]Inc.State$'!B6/'[1]Inc.State$'!B3</f>
        <v>0.2047139910666799</v>
      </c>
      <c r="D9" s="105">
        <f>'[1]Inc.State$'!C6/'[1]Inc.State$'!C3</f>
        <v>0.15102868444484135</v>
      </c>
      <c r="E9" s="105">
        <f>'[1]Inc.State$'!D6/'[1]Inc.State$'!D3</f>
        <v>0.1107278073210284</v>
      </c>
    </row>
    <row r="10" spans="1:5" x14ac:dyDescent="0.2">
      <c r="A10" s="94">
        <v>7</v>
      </c>
      <c r="B10" s="101" t="s">
        <v>116</v>
      </c>
      <c r="C10" s="105">
        <f>'[1]Inc.State$'!B8/'[1]Inc.State$'!B3</f>
        <v>3.7877968945254227E-2</v>
      </c>
      <c r="D10" s="105">
        <f>'[1]Inc.State$'!C8/'[1]Inc.State$'!C3</f>
        <v>2.0970296457585316E-2</v>
      </c>
      <c r="E10" s="105">
        <f>'[1]Inc.State$'!D8/'[1]Inc.State$'!D3</f>
        <v>2.2897776653025344E-2</v>
      </c>
    </row>
    <row r="11" spans="1:5" x14ac:dyDescent="0.2">
      <c r="A11" s="94"/>
      <c r="B11" s="98" t="s">
        <v>117</v>
      </c>
      <c r="C11" s="106"/>
      <c r="D11" s="106"/>
      <c r="E11" s="100"/>
    </row>
    <row r="12" spans="1:5" x14ac:dyDescent="0.2">
      <c r="A12" s="94">
        <v>8</v>
      </c>
      <c r="B12" s="101" t="s">
        <v>118</v>
      </c>
      <c r="C12" s="107">
        <f>'[1]Inc.State$'!B3/([1]Balance!B48+[1]Balance!C48)*2</f>
        <v>1.2377983183382484</v>
      </c>
      <c r="D12" s="107">
        <f>'[1]Inc.State$'!C3/([1]Balance!C48+[1]Balance!D48)*2</f>
        <v>1.9691538248688236</v>
      </c>
      <c r="E12" s="107">
        <f>'[1]Inc.State$'!D3/([1]Balance!D48+[1]Balance!E48)*2</f>
        <v>2.4445303660531863</v>
      </c>
    </row>
    <row r="13" spans="1:5" x14ac:dyDescent="0.2">
      <c r="A13" s="94">
        <v>9</v>
      </c>
      <c r="B13" s="101" t="s">
        <v>119</v>
      </c>
      <c r="C13" s="107">
        <f>'[1]Inc.State$'!B3/([1]Balance!B20+[1]Balance!C20)*2</f>
        <v>1.9465776715372705</v>
      </c>
      <c r="D13" s="107">
        <f>'[1]Inc.State$'!C3/([1]Balance!C20+[1]Balance!D20)*2</f>
        <v>3.2559585403607199</v>
      </c>
      <c r="E13" s="107">
        <f>'[1]Inc.State$'!D3/([1]Balance!D20+[1]Balance!E20)*2</f>
        <v>5.4261502741866989</v>
      </c>
    </row>
    <row r="14" spans="1:5" x14ac:dyDescent="0.2">
      <c r="A14" s="94">
        <v>10</v>
      </c>
      <c r="B14" s="101" t="s">
        <v>120</v>
      </c>
      <c r="C14" s="107">
        <f>'[1]Inc.State$'!B3/([1]Balance!B22-[1]Balance!B33+[1]Balance!C22-[1]Balance!C33)*2</f>
        <v>1.8069302289241354</v>
      </c>
      <c r="D14" s="107">
        <f>'[1]Inc.State$'!C3/([1]Balance!C22-[1]Balance!C33+[1]Balance!D22-[1]Balance!D33)*2</f>
        <v>3.4093200684140306</v>
      </c>
      <c r="E14" s="107">
        <f>'[1]Inc.State$'!D3/([1]Balance!D22-[1]Balance!D33+[1]Balance!E22-[1]Balance!E33)*2</f>
        <v>5.8091834514108838</v>
      </c>
    </row>
    <row r="15" spans="1:5" x14ac:dyDescent="0.2">
      <c r="A15" s="94">
        <v>11</v>
      </c>
      <c r="B15" s="101" t="s">
        <v>121</v>
      </c>
      <c r="C15" s="107">
        <f>'[1]Inc.State$'!B3/([1]Balance!C5+[1]Balance!B5)*2</f>
        <v>6.761658334064264</v>
      </c>
      <c r="D15" s="107">
        <f>'[1]Inc.State$'!C3/([1]Balance!D5+[1]Balance!C5)*2</f>
        <v>11.985613322629897</v>
      </c>
      <c r="E15" s="107">
        <f>'[1]Inc.State$'!D3/([1]Balance!E5+[1]Balance!D5)*2</f>
        <v>12.130550253971139</v>
      </c>
    </row>
    <row r="16" spans="1:5" x14ac:dyDescent="0.2">
      <c r="A16" s="94">
        <v>12</v>
      </c>
      <c r="B16" s="101" t="s">
        <v>122</v>
      </c>
      <c r="C16" s="117">
        <f>IF(C15,365/C15,0)</f>
        <v>53.980840493105426</v>
      </c>
      <c r="D16" s="117">
        <f>IF(D15,365/D15,0)</f>
        <v>30.453176668969267</v>
      </c>
      <c r="E16" s="117">
        <f>IF(E15,365/E15,0)</f>
        <v>30.089319310186372</v>
      </c>
    </row>
    <row r="17" spans="1:5" x14ac:dyDescent="0.2">
      <c r="A17" s="94">
        <v>13</v>
      </c>
      <c r="B17" s="101" t="s">
        <v>123</v>
      </c>
      <c r="C17" s="117">
        <f>'[1]Inc.State$'!B3/([1]Balance!B6+[1]Balance!C6)*2</f>
        <v>7.0416527113844669</v>
      </c>
      <c r="D17" s="117">
        <f>'[1]Inc.State$'!C3/([1]Balance!C6+[1]Balance!D6)*2</f>
        <v>8.9218025026948506</v>
      </c>
      <c r="E17" s="117">
        <f>'[1]Inc.State$'!D3/([1]Balance!D6+[1]Balance!E6)*2</f>
        <v>8.9706591789946906</v>
      </c>
    </row>
    <row r="18" spans="1:5" x14ac:dyDescent="0.2">
      <c r="A18" s="94">
        <v>14</v>
      </c>
      <c r="B18" s="101" t="s">
        <v>124</v>
      </c>
      <c r="C18" s="117">
        <f>'[1]Inc.State$'!B4/([1]Balance!B6+[1]Balance!C6)*2</f>
        <v>5.678135371312</v>
      </c>
      <c r="D18" s="117">
        <f>'[1]Inc.State$'!C4/([1]Balance!C6+[1]Balance!D6)*2</f>
        <v>7.9319257627595254</v>
      </c>
      <c r="E18" s="117">
        <f>'[1]Inc.State$'!D4/([1]Balance!D6+[1]Balance!E6)*2</f>
        <v>7.7480826531450466</v>
      </c>
    </row>
    <row r="19" spans="1:5" x14ac:dyDescent="0.2">
      <c r="A19" s="94">
        <v>15</v>
      </c>
      <c r="B19" s="101" t="s">
        <v>125</v>
      </c>
      <c r="C19" s="117">
        <f>'[1]Inc.State$'!B4/([1]Balance!B26+[1]Balance!C26)*2</f>
        <v>13.44922832828502</v>
      </c>
      <c r="D19" s="117">
        <f>(2*'[1]Inc.State$'!C4)/([1]Balance!C26+[1]Balance!D26)</f>
        <v>12.536323401418489</v>
      </c>
      <c r="E19" s="117">
        <f>(2*'[1]Inc.State$'!D4)/([1]Balance!D26+[1]Balance!E26)</f>
        <v>13.95252951776445</v>
      </c>
    </row>
    <row r="20" spans="1:5" x14ac:dyDescent="0.2">
      <c r="A20" s="94">
        <v>16</v>
      </c>
      <c r="B20" s="101" t="s">
        <v>126</v>
      </c>
      <c r="C20" s="117">
        <f>365*([1]Balance!C26+[1]Balance!B26)/2/'[1]Inc.State$'!B4</f>
        <v>27.139103530004761</v>
      </c>
      <c r="D20" s="117">
        <f>365*([1]Balance!D26+[1]Balance!C26)/2/'[1]Inc.State$'!C4</f>
        <v>29.115394387376778</v>
      </c>
      <c r="E20" s="117">
        <f>365*([1]Balance!E26+[1]Balance!D26)/2/'[1]Inc.State$'!D4</f>
        <v>26.160131002430752</v>
      </c>
    </row>
    <row r="21" spans="1:5" x14ac:dyDescent="0.2">
      <c r="A21" s="94"/>
      <c r="B21" s="98" t="s">
        <v>127</v>
      </c>
      <c r="C21" s="108"/>
      <c r="D21" s="109"/>
      <c r="E21" s="100"/>
    </row>
    <row r="22" spans="1:5" x14ac:dyDescent="0.2">
      <c r="A22" s="94">
        <v>17</v>
      </c>
      <c r="B22" s="101" t="s">
        <v>128</v>
      </c>
      <c r="C22" s="107">
        <f>[1]Balance!C8/[1]Balance!C33</f>
        <v>1.1560264405512413</v>
      </c>
      <c r="D22" s="107">
        <f>[1]Balance!D8/[1]Balance!D33</f>
        <v>0.81146050642117529</v>
      </c>
      <c r="E22" s="107">
        <f>[1]Balance!E8/[1]Balance!E33</f>
        <v>1.028342058949262</v>
      </c>
    </row>
    <row r="23" spans="1:5" x14ac:dyDescent="0.2">
      <c r="A23" s="94">
        <v>18</v>
      </c>
      <c r="B23" s="101" t="s">
        <v>129</v>
      </c>
      <c r="C23" s="107">
        <f>([1]Balance!C4+[1]Balance!C5+[1]Balance!C7)/[1]Balance!C33</f>
        <v>0.59793709323862765</v>
      </c>
      <c r="D23" s="107">
        <f>([1]Balance!D4+[1]Balance!D5+[1]Balance!D7)/[1]Balance!D33</f>
        <v>0.30901069876935433</v>
      </c>
      <c r="E23" s="107">
        <f>([1]Balance!E4+[1]Balance!E5+[1]Balance!E7)/[1]Balance!E33</f>
        <v>0.57640141904608577</v>
      </c>
    </row>
    <row r="24" spans="1:5" x14ac:dyDescent="0.2">
      <c r="A24" s="94">
        <v>19</v>
      </c>
      <c r="B24" s="101" t="s">
        <v>130</v>
      </c>
      <c r="C24" s="107">
        <f>[1]Balance!C4/[1]Balance!C33</f>
        <v>1.3679076959676462E-2</v>
      </c>
      <c r="D24" s="107">
        <f>[1]Balance!D4/[1]Balance!D33</f>
        <v>6.8996535818867319E-3</v>
      </c>
      <c r="E24" s="107">
        <f>[1]Balance!E4/[1]Balance!E33</f>
        <v>1.0803848524047723E-2</v>
      </c>
    </row>
    <row r="25" spans="1:5" x14ac:dyDescent="0.2">
      <c r="A25" s="94"/>
      <c r="B25" s="98" t="s">
        <v>131</v>
      </c>
      <c r="C25" s="110"/>
      <c r="D25" s="109"/>
      <c r="E25" s="100"/>
    </row>
    <row r="26" spans="1:5" x14ac:dyDescent="0.2">
      <c r="A26" s="94">
        <v>20</v>
      </c>
      <c r="B26" s="101" t="s">
        <v>132</v>
      </c>
      <c r="C26" s="105">
        <f>'[1]Inc.State$'!B7/([1]Balance!B8+[1]Balance!C8)*2</f>
        <v>-3.7659302376857454E-2</v>
      </c>
      <c r="D26" s="105">
        <f>'[1]Inc.State$'!C7/([1]Balance!C8+[1]Balance!D8)*2</f>
        <v>-0.19968984538072407</v>
      </c>
      <c r="E26" s="105">
        <f>'[1]Inc.State$'!D7/([1]Balance!D8+[1]Balance!E8)*2</f>
        <v>0.11370184651620953</v>
      </c>
    </row>
    <row r="27" spans="1:5" x14ac:dyDescent="0.2">
      <c r="A27" s="94">
        <v>21</v>
      </c>
      <c r="B27" s="101" t="s">
        <v>133</v>
      </c>
      <c r="C27" s="105">
        <f>'[1]Inc.State$'!B12/([1]Balance!B47+[1]Balance!C47)*2</f>
        <v>-0.11249315925259938</v>
      </c>
      <c r="D27" s="105">
        <f>'[1]Inc.State$'!C12/([1]Balance!C47+[1]Balance!D47)*2</f>
        <v>-0.19747654422768421</v>
      </c>
      <c r="E27" s="105">
        <f>'[1]Inc.State$'!D12/([1]Balance!D47+[1]Balance!E47)*2</f>
        <v>1.0381945284342107E-2</v>
      </c>
    </row>
    <row r="28" spans="1:5" x14ac:dyDescent="0.2">
      <c r="A28" s="94">
        <v>22</v>
      </c>
      <c r="B28" s="101" t="s">
        <v>134</v>
      </c>
      <c r="C28" s="105">
        <f>('[1]Inc.State$'!B12+'[1]Inc.State$'!B8*0.7)/([1]Balance!B48+[1]Balance!C48)*2</f>
        <v>-4.4193128843549728E-2</v>
      </c>
      <c r="D28" s="105">
        <f>('[1]Inc.State$'!C12+'[1]Inc.State$'!C8*0.7)/([1]Balance!C48+[1]Balance!D48)*2</f>
        <v>-8.5071102916266697E-2</v>
      </c>
      <c r="E28" s="105">
        <f>('[1]Inc.State$'!D12+'[1]Inc.State$'!D8*0.7)/([1]Balance!D48+[1]Balance!E48)*2</f>
        <v>4.3549096059453993E-2</v>
      </c>
    </row>
    <row r="29" spans="1:5" x14ac:dyDescent="0.2">
      <c r="A29" s="94">
        <v>23</v>
      </c>
      <c r="B29" s="101" t="s">
        <v>135</v>
      </c>
      <c r="C29" s="105">
        <f>('[1]Inc.State$'!B12+'[1]Inc.State$'!B8*0.7)/([1]Balance!B48-[1]Balance!B33+[1]Balance!C48-[1]Balance!C33)*2</f>
        <v>-6.4512852566606674E-2</v>
      </c>
      <c r="D29" s="105">
        <f>('[1]Inc.State$'!C12+'[1]Inc.State$'!C8*0.7)/([1]Balance!C48-[1]Balance!C33+[1]Balance!D48-[1]Balance!D33)*2</f>
        <v>-0.14728895973064179</v>
      </c>
      <c r="E29" s="105">
        <f>('[1]Inc.State$'!D12+'[1]Inc.State$'!D8*0.7)/([1]Balance!D48-[1]Balance!D33+[1]Balance!E48-[1]Balance!E33)*2</f>
        <v>0.10349009841139314</v>
      </c>
    </row>
    <row r="30" spans="1:5" x14ac:dyDescent="0.2">
      <c r="A30" s="94"/>
      <c r="B30" s="98" t="s">
        <v>136</v>
      </c>
      <c r="C30" s="111"/>
      <c r="D30" s="112"/>
      <c r="E30" s="100"/>
    </row>
    <row r="31" spans="1:5" x14ac:dyDescent="0.2">
      <c r="A31" s="94">
        <v>24</v>
      </c>
      <c r="B31" s="101" t="s">
        <v>137</v>
      </c>
      <c r="C31" s="105">
        <f>[1]Balance!C40/[1]Balance!C22</f>
        <v>0.3153998897446465</v>
      </c>
      <c r="D31" s="105">
        <f>[1]Balance!D40/[1]Balance!D22</f>
        <v>0.52327198855164281</v>
      </c>
      <c r="E31" s="105">
        <f>[1]Balance!E40/[1]Balance!E22</f>
        <v>0.61780483622020221</v>
      </c>
    </row>
    <row r="32" spans="1:5" x14ac:dyDescent="0.2">
      <c r="A32" s="94">
        <v>25</v>
      </c>
      <c r="B32" s="101" t="s">
        <v>138</v>
      </c>
      <c r="C32" s="105">
        <f>[1]Balance!C40/([1]Balance!C48-[1]Balance!C33)</f>
        <v>0.46041878271739972</v>
      </c>
      <c r="D32" s="105">
        <f>[1]Balance!D40/([1]Balance!D48-[1]Balance!D33)</f>
        <v>1.0967112714459504</v>
      </c>
      <c r="E32" s="105">
        <f>[1]Balance!E40/([1]Balance!E48-[1]Balance!E33)</f>
        <v>1.6164642956501445</v>
      </c>
    </row>
    <row r="33" spans="1:5" x14ac:dyDescent="0.2">
      <c r="A33" s="94">
        <v>26</v>
      </c>
      <c r="B33" s="101" t="s">
        <v>139</v>
      </c>
      <c r="C33" s="105">
        <f>[1]Balance!C40/[1]Balance!C47</f>
        <v>0.46070674693143615</v>
      </c>
      <c r="D33" s="105">
        <f>[1]Balance!D40/[1]Balance!D47</f>
        <v>1.0976321424073221</v>
      </c>
      <c r="E33" s="105">
        <f>[1]Balance!E40/[1]Balance!E47</f>
        <v>1.6164642956501449</v>
      </c>
    </row>
    <row r="34" spans="1:5" x14ac:dyDescent="0.2">
      <c r="A34" s="94"/>
      <c r="B34" s="98" t="s">
        <v>140</v>
      </c>
      <c r="C34" s="110"/>
      <c r="D34" s="109"/>
      <c r="E34" s="100"/>
    </row>
    <row r="35" spans="1:5" x14ac:dyDescent="0.2">
      <c r="A35" s="94">
        <v>27</v>
      </c>
      <c r="B35" s="101" t="s">
        <v>141</v>
      </c>
      <c r="C35" s="113">
        <f>'[1]Inc.State$'!B7/'[1]Inc.State$'!B8</f>
        <v>-0.29246575342465631</v>
      </c>
      <c r="D35" s="113">
        <f>'[1]Inc.State$'!C7/'[1]Inc.State$'!C8</f>
        <v>-1.9111973947895742</v>
      </c>
      <c r="E35" s="113">
        <f>'[1]Inc.State$'!D7/'[1]Inc.State$'!D8</f>
        <v>1.1161928306551274</v>
      </c>
    </row>
    <row r="36" spans="1:5" x14ac:dyDescent="0.2">
      <c r="A36" s="114"/>
      <c r="B36" s="115"/>
      <c r="C36" s="116"/>
      <c r="D36" s="116"/>
    </row>
    <row r="37" spans="1:5" x14ac:dyDescent="0.2">
      <c r="A37" s="114"/>
      <c r="B37" s="115"/>
      <c r="C37" s="116"/>
      <c r="D37" s="11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Balance Sheet</vt:lpstr>
      <vt:lpstr>Income Statements</vt:lpstr>
      <vt:lpstr>Cash Flow Statement</vt:lpstr>
      <vt:lpstr>Ratios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2015-09-24T00:27:16Z</dcterms:created>
  <dcterms:modified xsi:type="dcterms:W3CDTF">2015-09-24T00:47:50Z</dcterms:modified>
</cp:coreProperties>
</file>